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7.xml" ContentType="application/vnd.openxmlformats-officedocument.drawing+xml"/>
  <Override PartName="/xl/comments3.xml" ContentType="application/vnd.openxmlformats-officedocument.spreadsheetml.comments+xml"/>
  <Override PartName="/xl/charts/chart23.xml" ContentType="application/vnd.openxmlformats-officedocument.drawingml.chart+xml"/>
  <Override PartName="/xl/drawings/drawing8.xml" ContentType="application/vnd.openxmlformats-officedocument.drawing+xml"/>
  <Override PartName="/xl/comments4.xml" ContentType="application/vnd.openxmlformats-officedocument.spreadsheetml.comments+xml"/>
  <Override PartName="/xl/charts/chart24.xml" ContentType="application/vnd.openxmlformats-officedocument.drawingml.chart+xml"/>
  <Override PartName="/xl/drawings/drawing9.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nau\Documents\1. RegressIt\00000. FINAL VERSIONS FOR WEB SITE\0. FINAL DOCUMENTS\FOR ZIPPING - PC\"/>
    </mc:Choice>
  </mc:AlternateContent>
  <bookViews>
    <workbookView xWindow="0" yWindow="0" windowWidth="25785" windowHeight="13320"/>
  </bookViews>
  <sheets>
    <sheet name="Sheet1" sheetId="1" r:id="rId1"/>
    <sheet name="Stats 1" sheetId="2" r:id="rId2"/>
    <sheet name="Stats 2" sheetId="4" r:id="rId3"/>
    <sheet name="Stats 3" sheetId="21" r:id="rId4"/>
    <sheet name="Model 1.0" sheetId="23" r:id="rId5"/>
    <sheet name="Model 2.0" sheetId="26" r:id="rId6"/>
    <sheet name="Model 3.0" sheetId="35" r:id="rId7"/>
    <sheet name="Model 4.0" sheetId="43" r:id="rId8"/>
    <sheet name="Model Summaries" sheetId="24" r:id="rId9"/>
  </sheets>
  <definedNames>
    <definedName name="___autoF" localSheetId="4" hidden="1">0</definedName>
    <definedName name="___autoF" localSheetId="5" hidden="1">1</definedName>
    <definedName name="___autoF" localSheetId="6" hidden="1">1</definedName>
    <definedName name="___autoF" localSheetId="7" hidden="1">1</definedName>
    <definedName name="___gFirst" localSheetId="1" hidden="1">Y</definedName>
    <definedName name="___gFirst" localSheetId="2" hidden="1">Y</definedName>
    <definedName name="___gFirst" localSheetId="3" hidden="1">Y</definedName>
    <definedName name="___gSet" localSheetId="1" hidden="1">0</definedName>
    <definedName name="___gSet" localSheetId="2" hidden="1">31011</definedName>
    <definedName name="___gSet" localSheetId="3" hidden="1">41220</definedName>
    <definedName name="___rsumm___Y" localSheetId="8" hidden="1">'Model Summaries'!$A$3</definedName>
    <definedName name="__nSelect_" hidden="1">0</definedName>
    <definedName name="ActiveRegModel" hidden="1">"Model 4.0"</definedName>
    <definedName name="Date">Sheet1!$A$2:$A$251</definedName>
    <definedName name="FirstForecastRow" localSheetId="4" hidden="1">-1</definedName>
    <definedName name="FirstForecastRow" localSheetId="5" hidden="1">52</definedName>
    <definedName name="FirstForecastRow" localSheetId="6" hidden="1">32</definedName>
    <definedName name="FirstForecastRow" localSheetId="7" hidden="1">34</definedName>
    <definedName name="LastAnalysisModel" hidden="1">"Stats 3"</definedName>
    <definedName name="nDataAnalysis" hidden="1">3</definedName>
    <definedName name="nRegMod" hidden="1">4</definedName>
    <definedName name="OKtoForecast" hidden="1">1</definedName>
    <definedName name="X_1">Sheet1!$B$2:$B$251</definedName>
    <definedName name="X_2">Sheet1!$C$2:$C$251</definedName>
    <definedName name="X_3">Sheet1!$D$2:$D$251</definedName>
    <definedName name="X_4">Sheet1!$E$2:$E$251</definedName>
    <definedName name="X_5">Sheet1!$F$2:$F$251</definedName>
    <definedName name="Y">Sheet1!$G$2:$G$251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3" i="43" l="1"/>
  <c r="AA2" i="43"/>
  <c r="H33" i="43"/>
  <c r="G33" i="43"/>
  <c r="E33" i="43"/>
  <c r="D33" i="43"/>
  <c r="B10" i="43"/>
  <c r="D24" i="43"/>
  <c r="D10" i="43" s="1"/>
  <c r="C10" i="43" s="1"/>
  <c r="C23" i="43"/>
  <c r="D23" i="43" s="1"/>
  <c r="B25" i="43"/>
  <c r="E10" i="43" s="1"/>
  <c r="D17" i="43"/>
  <c r="E17" i="43"/>
  <c r="D18" i="43"/>
  <c r="E18" i="43" s="1"/>
  <c r="D16" i="43"/>
  <c r="E16" i="43" s="1"/>
  <c r="G15" i="43"/>
  <c r="F15" i="43"/>
  <c r="H10" i="43"/>
  <c r="H37" i="43" s="1"/>
  <c r="H9" i="43"/>
  <c r="AA3" i="35"/>
  <c r="AA2" i="35"/>
  <c r="H31" i="35"/>
  <c r="G31" i="35"/>
  <c r="E31" i="35"/>
  <c r="D31" i="35"/>
  <c r="B10" i="35"/>
  <c r="D22" i="35"/>
  <c r="D10" i="35" s="1"/>
  <c r="C21" i="35"/>
  <c r="D21" i="35" s="1"/>
  <c r="B23" i="35"/>
  <c r="E10" i="35" s="1"/>
  <c r="D15" i="35"/>
  <c r="E15" i="35" s="1"/>
  <c r="D16" i="35"/>
  <c r="E16" i="35" s="1"/>
  <c r="D17" i="35"/>
  <c r="E17" i="35" s="1"/>
  <c r="E14" i="35"/>
  <c r="D14" i="35"/>
  <c r="G13" i="35"/>
  <c r="F13" i="35"/>
  <c r="H10" i="35"/>
  <c r="H35" i="35" s="1"/>
  <c r="H9" i="35"/>
  <c r="AA3" i="26"/>
  <c r="AA2" i="26"/>
  <c r="H51" i="26"/>
  <c r="G51" i="26"/>
  <c r="E51" i="26"/>
  <c r="D51" i="26"/>
  <c r="E30" i="26"/>
  <c r="E29" i="26"/>
  <c r="E28" i="26"/>
  <c r="E27" i="26"/>
  <c r="E26" i="26"/>
  <c r="G25" i="26"/>
  <c r="F25" i="26"/>
  <c r="B10" i="26"/>
  <c r="D20" i="26"/>
  <c r="D10" i="26" s="1"/>
  <c r="D19" i="26"/>
  <c r="E19" i="26" s="1"/>
  <c r="F19" i="26" s="1"/>
  <c r="C19" i="26"/>
  <c r="B21" i="26"/>
  <c r="E10" i="26" s="1"/>
  <c r="I15" i="26" s="1"/>
  <c r="D15" i="26"/>
  <c r="E15" i="26" s="1"/>
  <c r="D14" i="26"/>
  <c r="E14" i="26" s="1"/>
  <c r="G13" i="26"/>
  <c r="F13" i="26"/>
  <c r="H10" i="26"/>
  <c r="H9" i="26"/>
  <c r="D51" i="23"/>
  <c r="E51" i="23" s="1"/>
  <c r="F51" i="23" s="1"/>
  <c r="H51" i="23" s="1"/>
  <c r="D52" i="23"/>
  <c r="E52" i="23"/>
  <c r="F52" i="23" s="1"/>
  <c r="H52" i="23" s="1"/>
  <c r="D53" i="23"/>
  <c r="E53" i="23" s="1"/>
  <c r="F53" i="23" s="1"/>
  <c r="H53" i="23" s="1"/>
  <c r="D54" i="23"/>
  <c r="E54" i="23" s="1"/>
  <c r="F54" i="23" s="1"/>
  <c r="H54" i="23" s="1"/>
  <c r="D55" i="23"/>
  <c r="E55" i="23" s="1"/>
  <c r="F55" i="23" s="1"/>
  <c r="H55" i="23" s="1"/>
  <c r="D56" i="23"/>
  <c r="E56" i="23" s="1"/>
  <c r="F56" i="23" s="1"/>
  <c r="H56" i="23" s="1"/>
  <c r="D57" i="23"/>
  <c r="E57" i="23" s="1"/>
  <c r="F57" i="23" s="1"/>
  <c r="H57" i="23" s="1"/>
  <c r="D58" i="23"/>
  <c r="E58" i="23" s="1"/>
  <c r="F58" i="23" s="1"/>
  <c r="H58" i="23" s="1"/>
  <c r="D59" i="23"/>
  <c r="E59" i="23" s="1"/>
  <c r="F59" i="23" s="1"/>
  <c r="H59" i="23" s="1"/>
  <c r="D60" i="23"/>
  <c r="E60" i="23" s="1"/>
  <c r="F60" i="23" s="1"/>
  <c r="H60" i="23" s="1"/>
  <c r="D61" i="23"/>
  <c r="E61" i="23" s="1"/>
  <c r="F61" i="23" s="1"/>
  <c r="H61" i="23" s="1"/>
  <c r="D62" i="23"/>
  <c r="E62" i="23" s="1"/>
  <c r="F62" i="23" s="1"/>
  <c r="H62" i="23" s="1"/>
  <c r="D63" i="23"/>
  <c r="E63" i="23" s="1"/>
  <c r="F63" i="23" s="1"/>
  <c r="H63" i="23" s="1"/>
  <c r="D64" i="23"/>
  <c r="E64" i="23" s="1"/>
  <c r="F64" i="23" s="1"/>
  <c r="H64" i="23" s="1"/>
  <c r="D65" i="23"/>
  <c r="E65" i="23" s="1"/>
  <c r="F65" i="23" s="1"/>
  <c r="H65" i="23" s="1"/>
  <c r="D66" i="23"/>
  <c r="E66" i="23" s="1"/>
  <c r="F66" i="23" s="1"/>
  <c r="H66" i="23" s="1"/>
  <c r="D67" i="23"/>
  <c r="E67" i="23" s="1"/>
  <c r="F67" i="23" s="1"/>
  <c r="H67" i="23" s="1"/>
  <c r="D68" i="23"/>
  <c r="E68" i="23" s="1"/>
  <c r="F68" i="23" s="1"/>
  <c r="H68" i="23" s="1"/>
  <c r="D69" i="23"/>
  <c r="E69" i="23"/>
  <c r="F69" i="23" s="1"/>
  <c r="H69" i="23" s="1"/>
  <c r="D70" i="23"/>
  <c r="E70" i="23" s="1"/>
  <c r="F70" i="23" s="1"/>
  <c r="H70" i="23" s="1"/>
  <c r="D71" i="23"/>
  <c r="E71" i="23" s="1"/>
  <c r="F71" i="23" s="1"/>
  <c r="H71" i="23" s="1"/>
  <c r="D72" i="23"/>
  <c r="E72" i="23" s="1"/>
  <c r="F72" i="23" s="1"/>
  <c r="H72" i="23" s="1"/>
  <c r="D73" i="23"/>
  <c r="E73" i="23" s="1"/>
  <c r="F73" i="23" s="1"/>
  <c r="H73" i="23" s="1"/>
  <c r="D74" i="23"/>
  <c r="E74" i="23" s="1"/>
  <c r="F74" i="23" s="1"/>
  <c r="H74" i="23" s="1"/>
  <c r="D75" i="23"/>
  <c r="E75" i="23" s="1"/>
  <c r="F75" i="23" s="1"/>
  <c r="H75" i="23" s="1"/>
  <c r="D76" i="23"/>
  <c r="E76" i="23" s="1"/>
  <c r="F76" i="23" s="1"/>
  <c r="H76" i="23" s="1"/>
  <c r="D77" i="23"/>
  <c r="E77" i="23"/>
  <c r="F77" i="23" s="1"/>
  <c r="H77" i="23" s="1"/>
  <c r="D78" i="23"/>
  <c r="E78" i="23"/>
  <c r="F78" i="23" s="1"/>
  <c r="H78" i="23" s="1"/>
  <c r="D79" i="23"/>
  <c r="E79" i="23" s="1"/>
  <c r="F79" i="23" s="1"/>
  <c r="H79" i="23" s="1"/>
  <c r="D80" i="23"/>
  <c r="E80" i="23" s="1"/>
  <c r="F80" i="23" s="1"/>
  <c r="H80" i="23" s="1"/>
  <c r="D81" i="23"/>
  <c r="E81" i="23" s="1"/>
  <c r="F81" i="23" s="1"/>
  <c r="H81" i="23" s="1"/>
  <c r="D82" i="23"/>
  <c r="E82" i="23" s="1"/>
  <c r="F82" i="23" s="1"/>
  <c r="H82" i="23" s="1"/>
  <c r="D83" i="23"/>
  <c r="E83" i="23" s="1"/>
  <c r="F83" i="23" s="1"/>
  <c r="H83" i="23" s="1"/>
  <c r="D84" i="23"/>
  <c r="E84" i="23" s="1"/>
  <c r="F84" i="23" s="1"/>
  <c r="H84" i="23" s="1"/>
  <c r="D85" i="23"/>
  <c r="E85" i="23"/>
  <c r="F85" i="23" s="1"/>
  <c r="H85" i="23" s="1"/>
  <c r="D86" i="23"/>
  <c r="E86" i="23" s="1"/>
  <c r="F86" i="23" s="1"/>
  <c r="H86" i="23" s="1"/>
  <c r="D87" i="23"/>
  <c r="E87" i="23" s="1"/>
  <c r="F87" i="23" s="1"/>
  <c r="H87" i="23" s="1"/>
  <c r="D88" i="23"/>
  <c r="E88" i="23" s="1"/>
  <c r="F88" i="23" s="1"/>
  <c r="H88" i="23" s="1"/>
  <c r="D89" i="23"/>
  <c r="E89" i="23" s="1"/>
  <c r="F89" i="23" s="1"/>
  <c r="H89" i="23" s="1"/>
  <c r="D90" i="23"/>
  <c r="E90" i="23" s="1"/>
  <c r="F90" i="23" s="1"/>
  <c r="H90" i="23" s="1"/>
  <c r="D91" i="23"/>
  <c r="E91" i="23" s="1"/>
  <c r="F91" i="23" s="1"/>
  <c r="H91" i="23" s="1"/>
  <c r="D92" i="23"/>
  <c r="E92" i="23" s="1"/>
  <c r="F92" i="23" s="1"/>
  <c r="H92" i="23" s="1"/>
  <c r="D93" i="23"/>
  <c r="E93" i="23" s="1"/>
  <c r="F93" i="23" s="1"/>
  <c r="H93" i="23" s="1"/>
  <c r="D94" i="23"/>
  <c r="E94" i="23" s="1"/>
  <c r="F94" i="23" s="1"/>
  <c r="H94" i="23" s="1"/>
  <c r="D95" i="23"/>
  <c r="E95" i="23" s="1"/>
  <c r="F95" i="23" s="1"/>
  <c r="H95" i="23" s="1"/>
  <c r="D96" i="23"/>
  <c r="E96" i="23" s="1"/>
  <c r="F96" i="23" s="1"/>
  <c r="H96" i="23" s="1"/>
  <c r="D97" i="23"/>
  <c r="E97" i="23" s="1"/>
  <c r="F97" i="23" s="1"/>
  <c r="H97" i="23" s="1"/>
  <c r="D98" i="23"/>
  <c r="E98" i="23" s="1"/>
  <c r="F98" i="23" s="1"/>
  <c r="H98" i="23" s="1"/>
  <c r="D99" i="23"/>
  <c r="E99" i="23" s="1"/>
  <c r="F99" i="23" s="1"/>
  <c r="H99" i="23" s="1"/>
  <c r="D100" i="23"/>
  <c r="E100" i="23" s="1"/>
  <c r="F100" i="23" s="1"/>
  <c r="H100" i="23" s="1"/>
  <c r="D101" i="23"/>
  <c r="E101" i="23" s="1"/>
  <c r="F101" i="23" s="1"/>
  <c r="H101" i="23" s="1"/>
  <c r="D102" i="23"/>
  <c r="E102" i="23" s="1"/>
  <c r="F102" i="23" s="1"/>
  <c r="H102" i="23" s="1"/>
  <c r="D103" i="23"/>
  <c r="E103" i="23" s="1"/>
  <c r="F103" i="23" s="1"/>
  <c r="H103" i="23" s="1"/>
  <c r="D104" i="23"/>
  <c r="E104" i="23" s="1"/>
  <c r="F104" i="23" s="1"/>
  <c r="H104" i="23" s="1"/>
  <c r="D105" i="23"/>
  <c r="E105" i="23" s="1"/>
  <c r="F105" i="23" s="1"/>
  <c r="H105" i="23" s="1"/>
  <c r="D106" i="23"/>
  <c r="E106" i="23" s="1"/>
  <c r="F106" i="23" s="1"/>
  <c r="H106" i="23" s="1"/>
  <c r="D107" i="23"/>
  <c r="E107" i="23" s="1"/>
  <c r="F107" i="23" s="1"/>
  <c r="H107" i="23" s="1"/>
  <c r="D108" i="23"/>
  <c r="E108" i="23" s="1"/>
  <c r="F108" i="23" s="1"/>
  <c r="H108" i="23" s="1"/>
  <c r="D109" i="23"/>
  <c r="E109" i="23" s="1"/>
  <c r="F109" i="23" s="1"/>
  <c r="H109" i="23" s="1"/>
  <c r="D110" i="23"/>
  <c r="E110" i="23" s="1"/>
  <c r="F110" i="23" s="1"/>
  <c r="H110" i="23" s="1"/>
  <c r="D111" i="23"/>
  <c r="E111" i="23" s="1"/>
  <c r="F111" i="23" s="1"/>
  <c r="H111" i="23" s="1"/>
  <c r="D112" i="23"/>
  <c r="E112" i="23" s="1"/>
  <c r="F112" i="23" s="1"/>
  <c r="H112" i="23" s="1"/>
  <c r="D113" i="23"/>
  <c r="E113" i="23" s="1"/>
  <c r="F113" i="23" s="1"/>
  <c r="H113" i="23" s="1"/>
  <c r="D114" i="23"/>
  <c r="E114" i="23"/>
  <c r="F114" i="23" s="1"/>
  <c r="H114" i="23" s="1"/>
  <c r="D115" i="23"/>
  <c r="E115" i="23" s="1"/>
  <c r="F115" i="23" s="1"/>
  <c r="H115" i="23" s="1"/>
  <c r="D116" i="23"/>
  <c r="E116" i="23" s="1"/>
  <c r="F116" i="23" s="1"/>
  <c r="H116" i="23" s="1"/>
  <c r="D117" i="23"/>
  <c r="E117" i="23" s="1"/>
  <c r="F117" i="23" s="1"/>
  <c r="H117" i="23" s="1"/>
  <c r="D118" i="23"/>
  <c r="E118" i="23" s="1"/>
  <c r="F118" i="23" s="1"/>
  <c r="H118" i="23" s="1"/>
  <c r="D119" i="23"/>
  <c r="E119" i="23" s="1"/>
  <c r="F119" i="23" s="1"/>
  <c r="H119" i="23" s="1"/>
  <c r="D120" i="23"/>
  <c r="E120" i="23" s="1"/>
  <c r="F120" i="23" s="1"/>
  <c r="H120" i="23" s="1"/>
  <c r="D121" i="23"/>
  <c r="E121" i="23" s="1"/>
  <c r="F121" i="23" s="1"/>
  <c r="H121" i="23" s="1"/>
  <c r="D122" i="23"/>
  <c r="E122" i="23" s="1"/>
  <c r="F122" i="23" s="1"/>
  <c r="H122" i="23" s="1"/>
  <c r="D123" i="23"/>
  <c r="E123" i="23" s="1"/>
  <c r="F123" i="23" s="1"/>
  <c r="H123" i="23" s="1"/>
  <c r="D124" i="23"/>
  <c r="E124" i="23" s="1"/>
  <c r="F124" i="23" s="1"/>
  <c r="H124" i="23" s="1"/>
  <c r="D125" i="23"/>
  <c r="E125" i="23"/>
  <c r="F125" i="23" s="1"/>
  <c r="H125" i="23" s="1"/>
  <c r="D126" i="23"/>
  <c r="E126" i="23"/>
  <c r="F126" i="23" s="1"/>
  <c r="H126" i="23" s="1"/>
  <c r="D127" i="23"/>
  <c r="E127" i="23" s="1"/>
  <c r="F127" i="23" s="1"/>
  <c r="H127" i="23" s="1"/>
  <c r="D128" i="23"/>
  <c r="E128" i="23" s="1"/>
  <c r="F128" i="23" s="1"/>
  <c r="H128" i="23" s="1"/>
  <c r="D129" i="23"/>
  <c r="E129" i="23" s="1"/>
  <c r="F129" i="23" s="1"/>
  <c r="H129" i="23" s="1"/>
  <c r="D130" i="23"/>
  <c r="E130" i="23" s="1"/>
  <c r="F130" i="23" s="1"/>
  <c r="H130" i="23" s="1"/>
  <c r="D131" i="23"/>
  <c r="E131" i="23" s="1"/>
  <c r="F131" i="23" s="1"/>
  <c r="H131" i="23" s="1"/>
  <c r="D132" i="23"/>
  <c r="E132" i="23"/>
  <c r="F132" i="23" s="1"/>
  <c r="H132" i="23" s="1"/>
  <c r="D133" i="23"/>
  <c r="E133" i="23"/>
  <c r="F133" i="23" s="1"/>
  <c r="H133" i="23" s="1"/>
  <c r="D134" i="23"/>
  <c r="E134" i="23"/>
  <c r="F134" i="23" s="1"/>
  <c r="H134" i="23" s="1"/>
  <c r="D135" i="23"/>
  <c r="E135" i="23" s="1"/>
  <c r="F135" i="23" s="1"/>
  <c r="H135" i="23" s="1"/>
  <c r="D136" i="23"/>
  <c r="E136" i="23" s="1"/>
  <c r="F136" i="23" s="1"/>
  <c r="H136" i="23" s="1"/>
  <c r="D137" i="23"/>
  <c r="E137" i="23"/>
  <c r="F137" i="23" s="1"/>
  <c r="H137" i="23" s="1"/>
  <c r="D138" i="23"/>
  <c r="E138" i="23" s="1"/>
  <c r="F138" i="23" s="1"/>
  <c r="H138" i="23" s="1"/>
  <c r="D139" i="23"/>
  <c r="E139" i="23" s="1"/>
  <c r="F139" i="23" s="1"/>
  <c r="H139" i="23" s="1"/>
  <c r="D140" i="23"/>
  <c r="E140" i="23"/>
  <c r="F140" i="23" s="1"/>
  <c r="H140" i="23" s="1"/>
  <c r="D141" i="23"/>
  <c r="E141" i="23" s="1"/>
  <c r="F141" i="23" s="1"/>
  <c r="H141" i="23" s="1"/>
  <c r="D142" i="23"/>
  <c r="E142" i="23"/>
  <c r="F142" i="23" s="1"/>
  <c r="H142" i="23" s="1"/>
  <c r="D143" i="23"/>
  <c r="E143" i="23" s="1"/>
  <c r="F143" i="23" s="1"/>
  <c r="H143" i="23" s="1"/>
  <c r="D144" i="23"/>
  <c r="E144" i="23" s="1"/>
  <c r="F144" i="23" s="1"/>
  <c r="H144" i="23" s="1"/>
  <c r="D145" i="23"/>
  <c r="E145" i="23" s="1"/>
  <c r="F145" i="23" s="1"/>
  <c r="H145" i="23" s="1"/>
  <c r="D146" i="23"/>
  <c r="E146" i="23" s="1"/>
  <c r="F146" i="23" s="1"/>
  <c r="H146" i="23" s="1"/>
  <c r="D147" i="23"/>
  <c r="E147" i="23" s="1"/>
  <c r="F147" i="23" s="1"/>
  <c r="H147" i="23" s="1"/>
  <c r="D148" i="23"/>
  <c r="E148" i="23" s="1"/>
  <c r="F148" i="23" s="1"/>
  <c r="H148" i="23" s="1"/>
  <c r="D149" i="23"/>
  <c r="E149" i="23" s="1"/>
  <c r="F149" i="23" s="1"/>
  <c r="H149" i="23" s="1"/>
  <c r="D150" i="23"/>
  <c r="E150" i="23" s="1"/>
  <c r="F150" i="23" s="1"/>
  <c r="H150" i="23" s="1"/>
  <c r="D151" i="23"/>
  <c r="E151" i="23" s="1"/>
  <c r="F151" i="23" s="1"/>
  <c r="H151" i="23" s="1"/>
  <c r="D152" i="23"/>
  <c r="E152" i="23" s="1"/>
  <c r="F152" i="23" s="1"/>
  <c r="H152" i="23" s="1"/>
  <c r="D153" i="23"/>
  <c r="E153" i="23" s="1"/>
  <c r="F153" i="23" s="1"/>
  <c r="H153" i="23" s="1"/>
  <c r="D154" i="23"/>
  <c r="E154" i="23" s="1"/>
  <c r="F154" i="23" s="1"/>
  <c r="H154" i="23" s="1"/>
  <c r="D155" i="23"/>
  <c r="E155" i="23" s="1"/>
  <c r="F155" i="23" s="1"/>
  <c r="H155" i="23" s="1"/>
  <c r="D156" i="23"/>
  <c r="E156" i="23"/>
  <c r="F156" i="23" s="1"/>
  <c r="H156" i="23" s="1"/>
  <c r="D157" i="23"/>
  <c r="E157" i="23" s="1"/>
  <c r="F157" i="23" s="1"/>
  <c r="H157" i="23" s="1"/>
  <c r="D158" i="23"/>
  <c r="E158" i="23" s="1"/>
  <c r="F158" i="23" s="1"/>
  <c r="H158" i="23" s="1"/>
  <c r="D159" i="23"/>
  <c r="E159" i="23" s="1"/>
  <c r="F159" i="23" s="1"/>
  <c r="H159" i="23" s="1"/>
  <c r="D160" i="23"/>
  <c r="E160" i="23" s="1"/>
  <c r="F160" i="23" s="1"/>
  <c r="H160" i="23" s="1"/>
  <c r="D161" i="23"/>
  <c r="E161" i="23" s="1"/>
  <c r="F161" i="23" s="1"/>
  <c r="H161" i="23" s="1"/>
  <c r="D162" i="23"/>
  <c r="E162" i="23" s="1"/>
  <c r="F162" i="23" s="1"/>
  <c r="H162" i="23" s="1"/>
  <c r="D163" i="23"/>
  <c r="E163" i="23" s="1"/>
  <c r="F163" i="23" s="1"/>
  <c r="H163" i="23" s="1"/>
  <c r="D164" i="23"/>
  <c r="E164" i="23" s="1"/>
  <c r="F164" i="23" s="1"/>
  <c r="H164" i="23" s="1"/>
  <c r="D165" i="23"/>
  <c r="E165" i="23" s="1"/>
  <c r="F165" i="23" s="1"/>
  <c r="H165" i="23" s="1"/>
  <c r="D166" i="23"/>
  <c r="E166" i="23"/>
  <c r="F166" i="23" s="1"/>
  <c r="H166" i="23" s="1"/>
  <c r="D167" i="23"/>
  <c r="E167" i="23" s="1"/>
  <c r="F167" i="23" s="1"/>
  <c r="H167" i="23" s="1"/>
  <c r="D168" i="23"/>
  <c r="E168" i="23" s="1"/>
  <c r="F168" i="23" s="1"/>
  <c r="H168" i="23" s="1"/>
  <c r="D169" i="23"/>
  <c r="E169" i="23" s="1"/>
  <c r="F169" i="23" s="1"/>
  <c r="H169" i="23" s="1"/>
  <c r="D170" i="23"/>
  <c r="E170" i="23" s="1"/>
  <c r="F170" i="23" s="1"/>
  <c r="H170" i="23" s="1"/>
  <c r="D171" i="23"/>
  <c r="E171" i="23" s="1"/>
  <c r="F171" i="23" s="1"/>
  <c r="H171" i="23" s="1"/>
  <c r="D172" i="23"/>
  <c r="E172" i="23" s="1"/>
  <c r="F172" i="23" s="1"/>
  <c r="H172" i="23" s="1"/>
  <c r="D173" i="23"/>
  <c r="E173" i="23" s="1"/>
  <c r="F173" i="23" s="1"/>
  <c r="H173" i="23" s="1"/>
  <c r="D174" i="23"/>
  <c r="E174" i="23" s="1"/>
  <c r="F174" i="23" s="1"/>
  <c r="H174" i="23" s="1"/>
  <c r="D175" i="23"/>
  <c r="E175" i="23" s="1"/>
  <c r="F175" i="23" s="1"/>
  <c r="H175" i="23" s="1"/>
  <c r="D176" i="23"/>
  <c r="E176" i="23" s="1"/>
  <c r="F176" i="23" s="1"/>
  <c r="H176" i="23" s="1"/>
  <c r="D177" i="23"/>
  <c r="E177" i="23" s="1"/>
  <c r="F177" i="23" s="1"/>
  <c r="H177" i="23" s="1"/>
  <c r="D178" i="23"/>
  <c r="E178" i="23"/>
  <c r="F178" i="23" s="1"/>
  <c r="H178" i="23" s="1"/>
  <c r="D179" i="23"/>
  <c r="E179" i="23" s="1"/>
  <c r="F179" i="23" s="1"/>
  <c r="H179" i="23" s="1"/>
  <c r="D180" i="23"/>
  <c r="E180" i="23" s="1"/>
  <c r="F180" i="23" s="1"/>
  <c r="H180" i="23" s="1"/>
  <c r="D181" i="23"/>
  <c r="E181" i="23" s="1"/>
  <c r="F181" i="23" s="1"/>
  <c r="H181" i="23" s="1"/>
  <c r="D182" i="23"/>
  <c r="E182" i="23" s="1"/>
  <c r="F182" i="23" s="1"/>
  <c r="H182" i="23" s="1"/>
  <c r="D183" i="23"/>
  <c r="E183" i="23" s="1"/>
  <c r="F183" i="23" s="1"/>
  <c r="H183" i="23" s="1"/>
  <c r="D184" i="23"/>
  <c r="E184" i="23" s="1"/>
  <c r="F184" i="23" s="1"/>
  <c r="H184" i="23" s="1"/>
  <c r="D185" i="23"/>
  <c r="E185" i="23" s="1"/>
  <c r="F185" i="23" s="1"/>
  <c r="H185" i="23" s="1"/>
  <c r="D186" i="23"/>
  <c r="E186" i="23" s="1"/>
  <c r="F186" i="23" s="1"/>
  <c r="H186" i="23" s="1"/>
  <c r="D187" i="23"/>
  <c r="E187" i="23" s="1"/>
  <c r="F187" i="23" s="1"/>
  <c r="H187" i="23" s="1"/>
  <c r="D188" i="23"/>
  <c r="E188" i="23"/>
  <c r="F188" i="23" s="1"/>
  <c r="H188" i="23" s="1"/>
  <c r="D189" i="23"/>
  <c r="E189" i="23"/>
  <c r="F189" i="23" s="1"/>
  <c r="H189" i="23" s="1"/>
  <c r="D190" i="23"/>
  <c r="E190" i="23" s="1"/>
  <c r="F190" i="23" s="1"/>
  <c r="H190" i="23" s="1"/>
  <c r="D191" i="23"/>
  <c r="E191" i="23" s="1"/>
  <c r="F191" i="23" s="1"/>
  <c r="H191" i="23" s="1"/>
  <c r="D192" i="23"/>
  <c r="E192" i="23" s="1"/>
  <c r="F192" i="23" s="1"/>
  <c r="H192" i="23" s="1"/>
  <c r="D193" i="23"/>
  <c r="E193" i="23" s="1"/>
  <c r="F193" i="23" s="1"/>
  <c r="H193" i="23" s="1"/>
  <c r="D194" i="23"/>
  <c r="E194" i="23" s="1"/>
  <c r="F194" i="23" s="1"/>
  <c r="H194" i="23" s="1"/>
  <c r="D195" i="23"/>
  <c r="E195" i="23" s="1"/>
  <c r="F195" i="23" s="1"/>
  <c r="H195" i="23" s="1"/>
  <c r="D196" i="23"/>
  <c r="E196" i="23" s="1"/>
  <c r="F196" i="23" s="1"/>
  <c r="H196" i="23" s="1"/>
  <c r="D197" i="23"/>
  <c r="E197" i="23" s="1"/>
  <c r="F197" i="23" s="1"/>
  <c r="H197" i="23" s="1"/>
  <c r="D198" i="23"/>
  <c r="E198" i="23" s="1"/>
  <c r="F198" i="23" s="1"/>
  <c r="H198" i="23" s="1"/>
  <c r="D199" i="23"/>
  <c r="E199" i="23" s="1"/>
  <c r="F199" i="23" s="1"/>
  <c r="H199" i="23" s="1"/>
  <c r="D200" i="23"/>
  <c r="E200" i="23" s="1"/>
  <c r="F200" i="23" s="1"/>
  <c r="H200" i="23" s="1"/>
  <c r="D201" i="23"/>
  <c r="E201" i="23" s="1"/>
  <c r="F201" i="23" s="1"/>
  <c r="H201" i="23" s="1"/>
  <c r="D202" i="23"/>
  <c r="E202" i="23" s="1"/>
  <c r="F202" i="23" s="1"/>
  <c r="H202" i="23" s="1"/>
  <c r="D203" i="23"/>
  <c r="E203" i="23" s="1"/>
  <c r="F203" i="23" s="1"/>
  <c r="H203" i="23" s="1"/>
  <c r="D204" i="23"/>
  <c r="E204" i="23" s="1"/>
  <c r="F204" i="23" s="1"/>
  <c r="H204" i="23" s="1"/>
  <c r="D205" i="23"/>
  <c r="E205" i="23" s="1"/>
  <c r="F205" i="23" s="1"/>
  <c r="H205" i="23" s="1"/>
  <c r="D206" i="23"/>
  <c r="E206" i="23" s="1"/>
  <c r="F206" i="23" s="1"/>
  <c r="H206" i="23" s="1"/>
  <c r="D207" i="23"/>
  <c r="E207" i="23" s="1"/>
  <c r="F207" i="23" s="1"/>
  <c r="H207" i="23" s="1"/>
  <c r="D208" i="23"/>
  <c r="E208" i="23" s="1"/>
  <c r="F208" i="23" s="1"/>
  <c r="H208" i="23" s="1"/>
  <c r="D209" i="23"/>
  <c r="E209" i="23" s="1"/>
  <c r="F209" i="23" s="1"/>
  <c r="H209" i="23" s="1"/>
  <c r="D210" i="23"/>
  <c r="E210" i="23"/>
  <c r="F210" i="23" s="1"/>
  <c r="H210" i="23" s="1"/>
  <c r="D211" i="23"/>
  <c r="E211" i="23" s="1"/>
  <c r="F211" i="23" s="1"/>
  <c r="H211" i="23" s="1"/>
  <c r="D212" i="23"/>
  <c r="E212" i="23" s="1"/>
  <c r="F212" i="23" s="1"/>
  <c r="H212" i="23" s="1"/>
  <c r="D213" i="23"/>
  <c r="E213" i="23" s="1"/>
  <c r="F213" i="23" s="1"/>
  <c r="H213" i="23" s="1"/>
  <c r="D214" i="23"/>
  <c r="E214" i="23" s="1"/>
  <c r="F214" i="23" s="1"/>
  <c r="H214" i="23" s="1"/>
  <c r="D215" i="23"/>
  <c r="E215" i="23" s="1"/>
  <c r="F215" i="23" s="1"/>
  <c r="H215" i="23" s="1"/>
  <c r="D216" i="23"/>
  <c r="E216" i="23" s="1"/>
  <c r="F216" i="23" s="1"/>
  <c r="H216" i="23" s="1"/>
  <c r="D217" i="23"/>
  <c r="E217" i="23" s="1"/>
  <c r="F217" i="23" s="1"/>
  <c r="H217" i="23" s="1"/>
  <c r="D218" i="23"/>
  <c r="E218" i="23" s="1"/>
  <c r="F218" i="23" s="1"/>
  <c r="H218" i="23" s="1"/>
  <c r="D219" i="23"/>
  <c r="E219" i="23" s="1"/>
  <c r="F219" i="23" s="1"/>
  <c r="H219" i="23" s="1"/>
  <c r="D220" i="23"/>
  <c r="E220" i="23" s="1"/>
  <c r="F220" i="23" s="1"/>
  <c r="H220" i="23" s="1"/>
  <c r="D221" i="23"/>
  <c r="E221" i="23" s="1"/>
  <c r="F221" i="23" s="1"/>
  <c r="H221" i="23" s="1"/>
  <c r="D222" i="23"/>
  <c r="E222" i="23" s="1"/>
  <c r="F222" i="23" s="1"/>
  <c r="H222" i="23" s="1"/>
  <c r="D223" i="23"/>
  <c r="E223" i="23" s="1"/>
  <c r="F223" i="23" s="1"/>
  <c r="H223" i="23" s="1"/>
  <c r="D224" i="23"/>
  <c r="E224" i="23" s="1"/>
  <c r="F224" i="23" s="1"/>
  <c r="H224" i="23" s="1"/>
  <c r="D225" i="23"/>
  <c r="E225" i="23" s="1"/>
  <c r="F225" i="23" s="1"/>
  <c r="H225" i="23" s="1"/>
  <c r="D226" i="23"/>
  <c r="E226" i="23" s="1"/>
  <c r="F226" i="23" s="1"/>
  <c r="H226" i="23" s="1"/>
  <c r="D227" i="23"/>
  <c r="E227" i="23" s="1"/>
  <c r="F227" i="23" s="1"/>
  <c r="H227" i="23" s="1"/>
  <c r="D228" i="23"/>
  <c r="E228" i="23" s="1"/>
  <c r="F228" i="23" s="1"/>
  <c r="H228" i="23" s="1"/>
  <c r="D229" i="23"/>
  <c r="E229" i="23" s="1"/>
  <c r="F229" i="23" s="1"/>
  <c r="H229" i="23" s="1"/>
  <c r="D230" i="23"/>
  <c r="E230" i="23" s="1"/>
  <c r="F230" i="23" s="1"/>
  <c r="H230" i="23" s="1"/>
  <c r="D231" i="23"/>
  <c r="E231" i="23" s="1"/>
  <c r="F231" i="23" s="1"/>
  <c r="H231" i="23" s="1"/>
  <c r="D232" i="23"/>
  <c r="E232" i="23" s="1"/>
  <c r="F232" i="23" s="1"/>
  <c r="H232" i="23" s="1"/>
  <c r="D233" i="23"/>
  <c r="E233" i="23" s="1"/>
  <c r="F233" i="23" s="1"/>
  <c r="H233" i="23" s="1"/>
  <c r="D234" i="23"/>
  <c r="E234" i="23" s="1"/>
  <c r="F234" i="23" s="1"/>
  <c r="H234" i="23" s="1"/>
  <c r="D235" i="23"/>
  <c r="E235" i="23" s="1"/>
  <c r="F235" i="23" s="1"/>
  <c r="H235" i="23" s="1"/>
  <c r="D236" i="23"/>
  <c r="E236" i="23" s="1"/>
  <c r="F236" i="23" s="1"/>
  <c r="H236" i="23" s="1"/>
  <c r="D237" i="23"/>
  <c r="E237" i="23" s="1"/>
  <c r="F237" i="23" s="1"/>
  <c r="H237" i="23" s="1"/>
  <c r="D238" i="23"/>
  <c r="E238" i="23" s="1"/>
  <c r="F238" i="23" s="1"/>
  <c r="H238" i="23" s="1"/>
  <c r="D239" i="23"/>
  <c r="E239" i="23" s="1"/>
  <c r="F239" i="23" s="1"/>
  <c r="H239" i="23" s="1"/>
  <c r="D240" i="23"/>
  <c r="E240" i="23" s="1"/>
  <c r="F240" i="23" s="1"/>
  <c r="H240" i="23" s="1"/>
  <c r="D241" i="23"/>
  <c r="E241" i="23" s="1"/>
  <c r="F241" i="23" s="1"/>
  <c r="H241" i="23" s="1"/>
  <c r="D242" i="23"/>
  <c r="E242" i="23" s="1"/>
  <c r="F242" i="23" s="1"/>
  <c r="H242" i="23" s="1"/>
  <c r="D243" i="23"/>
  <c r="E243" i="23" s="1"/>
  <c r="F243" i="23" s="1"/>
  <c r="H243" i="23" s="1"/>
  <c r="D244" i="23"/>
  <c r="E244" i="23" s="1"/>
  <c r="F244" i="23" s="1"/>
  <c r="H244" i="23" s="1"/>
  <c r="D245" i="23"/>
  <c r="E245" i="23" s="1"/>
  <c r="F245" i="23" s="1"/>
  <c r="H245" i="23" s="1"/>
  <c r="D246" i="23"/>
  <c r="E246" i="23" s="1"/>
  <c r="F246" i="23" s="1"/>
  <c r="H246" i="23" s="1"/>
  <c r="D247" i="23"/>
  <c r="E247" i="23" s="1"/>
  <c r="F247" i="23" s="1"/>
  <c r="H247" i="23" s="1"/>
  <c r="D248" i="23"/>
  <c r="E248" i="23" s="1"/>
  <c r="F248" i="23" s="1"/>
  <c r="H248" i="23" s="1"/>
  <c r="D249" i="23"/>
  <c r="E249" i="23" s="1"/>
  <c r="F249" i="23" s="1"/>
  <c r="H249" i="23" s="1"/>
  <c r="D250" i="23"/>
  <c r="E250" i="23" s="1"/>
  <c r="F250" i="23" s="1"/>
  <c r="H250" i="23" s="1"/>
  <c r="D251" i="23"/>
  <c r="E251" i="23" s="1"/>
  <c r="F251" i="23" s="1"/>
  <c r="H251" i="23" s="1"/>
  <c r="D252" i="23"/>
  <c r="E252" i="23" s="1"/>
  <c r="F252" i="23" s="1"/>
  <c r="H252" i="23" s="1"/>
  <c r="D253" i="23"/>
  <c r="E253" i="23"/>
  <c r="F253" i="23" s="1"/>
  <c r="H253" i="23" s="1"/>
  <c r="D254" i="23"/>
  <c r="E254" i="23"/>
  <c r="F254" i="23" s="1"/>
  <c r="H254" i="23" s="1"/>
  <c r="D255" i="23"/>
  <c r="E255" i="23" s="1"/>
  <c r="F255" i="23" s="1"/>
  <c r="H255" i="23" s="1"/>
  <c r="D256" i="23"/>
  <c r="E256" i="23" s="1"/>
  <c r="F256" i="23" s="1"/>
  <c r="H256" i="23" s="1"/>
  <c r="D257" i="23"/>
  <c r="E257" i="23" s="1"/>
  <c r="F257" i="23" s="1"/>
  <c r="H257" i="23" s="1"/>
  <c r="D258" i="23"/>
  <c r="E258" i="23" s="1"/>
  <c r="F258" i="23" s="1"/>
  <c r="H258" i="23" s="1"/>
  <c r="D259" i="23"/>
  <c r="E259" i="23" s="1"/>
  <c r="F259" i="23" s="1"/>
  <c r="H259" i="23" s="1"/>
  <c r="D260" i="23"/>
  <c r="E260" i="23" s="1"/>
  <c r="F260" i="23" s="1"/>
  <c r="H260" i="23" s="1"/>
  <c r="D261" i="23"/>
  <c r="E261" i="23" s="1"/>
  <c r="F261" i="23" s="1"/>
  <c r="H261" i="23" s="1"/>
  <c r="D262" i="23"/>
  <c r="E262" i="23" s="1"/>
  <c r="F262" i="23" s="1"/>
  <c r="H262" i="23" s="1"/>
  <c r="D263" i="23"/>
  <c r="E263" i="23" s="1"/>
  <c r="F263" i="23" s="1"/>
  <c r="H263" i="23" s="1"/>
  <c r="D264" i="23"/>
  <c r="E264" i="23" s="1"/>
  <c r="F264" i="23" s="1"/>
  <c r="H264" i="23" s="1"/>
  <c r="D265" i="23"/>
  <c r="E265" i="23" s="1"/>
  <c r="F265" i="23" s="1"/>
  <c r="H265" i="23" s="1"/>
  <c r="D266" i="23"/>
  <c r="E266" i="23" s="1"/>
  <c r="F266" i="23" s="1"/>
  <c r="H266" i="23" s="1"/>
  <c r="D267" i="23"/>
  <c r="E267" i="23" s="1"/>
  <c r="F267" i="23" s="1"/>
  <c r="H267" i="23" s="1"/>
  <c r="D268" i="23"/>
  <c r="E268" i="23" s="1"/>
  <c r="F268" i="23" s="1"/>
  <c r="H268" i="23" s="1"/>
  <c r="D269" i="23"/>
  <c r="E269" i="23" s="1"/>
  <c r="F269" i="23" s="1"/>
  <c r="H269" i="23" s="1"/>
  <c r="D270" i="23"/>
  <c r="E270" i="23" s="1"/>
  <c r="F270" i="23" s="1"/>
  <c r="H270" i="23" s="1"/>
  <c r="D271" i="23"/>
  <c r="E271" i="23" s="1"/>
  <c r="F271" i="23" s="1"/>
  <c r="H271" i="23" s="1"/>
  <c r="D272" i="23"/>
  <c r="E272" i="23" s="1"/>
  <c r="F272" i="23" s="1"/>
  <c r="H272" i="23" s="1"/>
  <c r="D273" i="23"/>
  <c r="E273" i="23" s="1"/>
  <c r="F273" i="23" s="1"/>
  <c r="H273" i="23" s="1"/>
  <c r="D274" i="23"/>
  <c r="E274" i="23" s="1"/>
  <c r="F274" i="23" s="1"/>
  <c r="H274" i="23" s="1"/>
  <c r="D275" i="23"/>
  <c r="E275" i="23" s="1"/>
  <c r="F275" i="23" s="1"/>
  <c r="H275" i="23" s="1"/>
  <c r="D276" i="23"/>
  <c r="E276" i="23"/>
  <c r="F276" i="23" s="1"/>
  <c r="H276" i="23" s="1"/>
  <c r="D277" i="23"/>
  <c r="E277" i="23"/>
  <c r="F277" i="23" s="1"/>
  <c r="H277" i="23" s="1"/>
  <c r="D278" i="23"/>
  <c r="E278" i="23" s="1"/>
  <c r="F278" i="23" s="1"/>
  <c r="H278" i="23" s="1"/>
  <c r="D279" i="23"/>
  <c r="E279" i="23" s="1"/>
  <c r="F279" i="23" s="1"/>
  <c r="H279" i="23" s="1"/>
  <c r="D280" i="23"/>
  <c r="E280" i="23" s="1"/>
  <c r="F280" i="23" s="1"/>
  <c r="H280" i="23" s="1"/>
  <c r="D281" i="23"/>
  <c r="E281" i="23" s="1"/>
  <c r="F281" i="23" s="1"/>
  <c r="H281" i="23" s="1"/>
  <c r="D282" i="23"/>
  <c r="E282" i="23" s="1"/>
  <c r="F282" i="23" s="1"/>
  <c r="H282" i="23" s="1"/>
  <c r="D283" i="23"/>
  <c r="E283" i="23" s="1"/>
  <c r="F283" i="23" s="1"/>
  <c r="H283" i="23" s="1"/>
  <c r="D284" i="23"/>
  <c r="E284" i="23" s="1"/>
  <c r="F284" i="23" s="1"/>
  <c r="H284" i="23" s="1"/>
  <c r="D285" i="23"/>
  <c r="E285" i="23" s="1"/>
  <c r="F285" i="23" s="1"/>
  <c r="H285" i="23" s="1"/>
  <c r="D286" i="23"/>
  <c r="E286" i="23" s="1"/>
  <c r="F286" i="23" s="1"/>
  <c r="H286" i="23" s="1"/>
  <c r="D287" i="23"/>
  <c r="E287" i="23" s="1"/>
  <c r="F287" i="23" s="1"/>
  <c r="H287" i="23" s="1"/>
  <c r="D288" i="23"/>
  <c r="E288" i="23" s="1"/>
  <c r="F288" i="23" s="1"/>
  <c r="H288" i="23" s="1"/>
  <c r="D289" i="23"/>
  <c r="E289" i="23" s="1"/>
  <c r="F289" i="23" s="1"/>
  <c r="H289" i="23" s="1"/>
  <c r="D290" i="23"/>
  <c r="E290" i="23" s="1"/>
  <c r="F290" i="23" s="1"/>
  <c r="H290" i="23" s="1"/>
  <c r="D291" i="23"/>
  <c r="E291" i="23" s="1"/>
  <c r="F291" i="23" s="1"/>
  <c r="H291" i="23" s="1"/>
  <c r="D292" i="23"/>
  <c r="E292" i="23" s="1"/>
  <c r="F292" i="23" s="1"/>
  <c r="H292" i="23" s="1"/>
  <c r="D293" i="23"/>
  <c r="E293" i="23" s="1"/>
  <c r="F293" i="23" s="1"/>
  <c r="H293" i="23" s="1"/>
  <c r="D294" i="23"/>
  <c r="E294" i="23" s="1"/>
  <c r="F294" i="23" s="1"/>
  <c r="H294" i="23" s="1"/>
  <c r="D50" i="23"/>
  <c r="E50" i="23" s="1"/>
  <c r="F50" i="23" s="1"/>
  <c r="H50" i="23" s="1"/>
  <c r="E34" i="23"/>
  <c r="D34" i="23"/>
  <c r="C34" i="23"/>
  <c r="B34" i="23"/>
  <c r="B10" i="23"/>
  <c r="D23" i="23"/>
  <c r="D10" i="23" s="1"/>
  <c r="C22" i="23"/>
  <c r="D22" i="23" s="1"/>
  <c r="B24" i="23"/>
  <c r="E10" i="23" s="1"/>
  <c r="D15" i="23"/>
  <c r="E15" i="23" s="1"/>
  <c r="D16" i="23"/>
  <c r="E16" i="23" s="1"/>
  <c r="D17" i="23"/>
  <c r="E17" i="23" s="1"/>
  <c r="D18" i="23"/>
  <c r="E18" i="23" s="1"/>
  <c r="D14" i="23"/>
  <c r="E14" i="23" s="1"/>
  <c r="G13" i="23"/>
  <c r="F13" i="23"/>
  <c r="H10" i="23"/>
  <c r="F16" i="23" s="1"/>
  <c r="H9" i="23"/>
  <c r="E23" i="43" l="1"/>
  <c r="F23" i="43" s="1"/>
  <c r="G18" i="43"/>
  <c r="H34" i="43"/>
  <c r="E36" i="43"/>
  <c r="F18" i="43"/>
  <c r="CG34" i="43"/>
  <c r="D35" i="43"/>
  <c r="H36" i="43"/>
  <c r="E38" i="43"/>
  <c r="E35" i="43"/>
  <c r="CG36" i="43"/>
  <c r="G38" i="43"/>
  <c r="CG37" i="43"/>
  <c r="G35" i="43"/>
  <c r="D37" i="43"/>
  <c r="H38" i="43"/>
  <c r="G16" i="43"/>
  <c r="F17" i="43"/>
  <c r="D34" i="43"/>
  <c r="H35" i="43"/>
  <c r="E37" i="43"/>
  <c r="CG38" i="43"/>
  <c r="D38" i="43"/>
  <c r="G17" i="43"/>
  <c r="E34" i="43"/>
  <c r="CG35" i="43"/>
  <c r="G37" i="43"/>
  <c r="G36" i="43"/>
  <c r="F16" i="43"/>
  <c r="G34" i="43"/>
  <c r="D36" i="43"/>
  <c r="E21" i="35"/>
  <c r="F21" i="35" s="1"/>
  <c r="I17" i="35"/>
  <c r="I15" i="35"/>
  <c r="F14" i="35"/>
  <c r="G16" i="35"/>
  <c r="H32" i="35"/>
  <c r="E34" i="35"/>
  <c r="CG35" i="35"/>
  <c r="G15" i="35"/>
  <c r="G14" i="35"/>
  <c r="F16" i="35"/>
  <c r="CG32" i="35"/>
  <c r="G34" i="35"/>
  <c r="D36" i="35"/>
  <c r="D33" i="35"/>
  <c r="H34" i="35"/>
  <c r="E36" i="35"/>
  <c r="E33" i="35"/>
  <c r="CG34" i="35"/>
  <c r="G36" i="35"/>
  <c r="G17" i="35"/>
  <c r="F15" i="35"/>
  <c r="G33" i="35"/>
  <c r="D35" i="35"/>
  <c r="H36" i="35"/>
  <c r="F17" i="35"/>
  <c r="D32" i="35"/>
  <c r="H33" i="35"/>
  <c r="E35" i="35"/>
  <c r="CG36" i="35"/>
  <c r="E32" i="35"/>
  <c r="CG33" i="35"/>
  <c r="G35" i="35"/>
  <c r="G32" i="35"/>
  <c r="D34" i="35"/>
  <c r="I16" i="35"/>
  <c r="C10" i="35"/>
  <c r="F56" i="26"/>
  <c r="C56" i="26" s="1"/>
  <c r="F52" i="26"/>
  <c r="C52" i="26" s="1"/>
  <c r="CG52" i="26" s="1"/>
  <c r="C27" i="26"/>
  <c r="D27" i="26" s="1"/>
  <c r="F53" i="26"/>
  <c r="C53" i="26" s="1"/>
  <c r="C30" i="26"/>
  <c r="D30" i="26" s="1"/>
  <c r="F54" i="26"/>
  <c r="C54" i="26" s="1"/>
  <c r="CG54" i="26" s="1"/>
  <c r="C28" i="26"/>
  <c r="D28" i="26" s="1"/>
  <c r="F55" i="26"/>
  <c r="C55" i="26" s="1"/>
  <c r="CG55" i="26" s="1"/>
  <c r="C26" i="26"/>
  <c r="D26" i="26" s="1"/>
  <c r="C10" i="26"/>
  <c r="C29" i="26"/>
  <c r="D29" i="26" s="1"/>
  <c r="G15" i="26"/>
  <c r="D55" i="26"/>
  <c r="F15" i="26"/>
  <c r="E55" i="26"/>
  <c r="G56" i="26"/>
  <c r="F14" i="26"/>
  <c r="G14" i="26"/>
  <c r="E22" i="23"/>
  <c r="F22" i="23" s="1"/>
  <c r="I16" i="23"/>
  <c r="I15" i="23"/>
  <c r="I17" i="23"/>
  <c r="I18" i="23"/>
  <c r="C10" i="23"/>
  <c r="G14" i="23"/>
  <c r="F17" i="23"/>
  <c r="F15" i="23"/>
  <c r="G17" i="23"/>
  <c r="F14" i="23"/>
  <c r="G15" i="23"/>
  <c r="G18" i="23"/>
  <c r="G16" i="23"/>
  <c r="F18" i="23"/>
  <c r="G30" i="26" l="1"/>
  <c r="F30" i="26"/>
  <c r="F27" i="26"/>
  <c r="G27" i="26"/>
  <c r="G26" i="26"/>
  <c r="F26" i="26"/>
  <c r="D54" i="26"/>
  <c r="H53" i="26"/>
  <c r="H55" i="26"/>
  <c r="F29" i="26"/>
  <c r="G29" i="26"/>
  <c r="CG53" i="26"/>
  <c r="E53" i="26"/>
  <c r="D53" i="26"/>
  <c r="CG56" i="26"/>
  <c r="D56" i="26"/>
  <c r="E56" i="26"/>
  <c r="G28" i="26"/>
  <c r="F28" i="26"/>
  <c r="G54" i="26"/>
  <c r="G53" i="26"/>
  <c r="H56" i="26"/>
  <c r="G55" i="26"/>
  <c r="H52" i="26"/>
  <c r="E54" i="26"/>
  <c r="G52" i="26"/>
  <c r="E52" i="26"/>
  <c r="D52" i="26"/>
  <c r="H54" i="26"/>
</calcChain>
</file>

<file path=xl/comments1.xml><?xml version="1.0" encoding="utf-8"?>
<comments xmlns="http://schemas.openxmlformats.org/spreadsheetml/2006/main">
  <authors>
    <author>Bob Nau</author>
  </authors>
  <commentList>
    <comment ref="B1" authorId="0" shapeId="0">
      <text>
        <r>
          <rPr>
            <sz val="8"/>
            <color indexed="81"/>
            <rFont val="Tahoma"/>
            <family val="2"/>
          </rPr>
          <t>Model 1.0 (#vars=4, n=245, AdjRsq=0.668)
Dependent variable = Y 
Run time = 2/15/2018 1:36:34 PM
File name = RegressItPCtest1.xlsx
Computer name = FACDS2140
Program file name = RegressItPC
Version number = 2018.02.15
Execution time = 00h:00m:01s</t>
        </r>
      </text>
    </comment>
  </commentList>
</comments>
</file>

<file path=xl/comments2.xml><?xml version="1.0" encoding="utf-8"?>
<comments xmlns="http://schemas.openxmlformats.org/spreadsheetml/2006/main">
  <authors>
    <author>Bob Nau</author>
  </authors>
  <commentList>
    <comment ref="A1" authorId="0" shapeId="0">
      <text>
        <r>
          <rPr>
            <sz val="8"/>
            <color indexed="81"/>
            <rFont val="Tahoma"/>
            <family val="2"/>
          </rPr>
          <t>In a linear regression model the predicted value of the dependent variable
is assumed to be a linear, additive function of the independent variables,
i.e., a constant plus the sum of the independent variables respectively
multiplied by other constants, which are called their coefficients.
These are strong assumptions.  They imply that the predicted change
in the dependent variable is a straight-line function of the change
in any independent variable, holding the other variables fixed at any
values of their own, and the slope of this line does not depend on
the other variables, and the predicted change in the dependent variable
due to simultaneous changes in two or more independent variables is
the sum of the changes that would be predicted due to each one separately.
Furthermore, the unexplained variations in the data are usually assumed
to be independently and identically normally distributed for all values
of the independent variables.   In other words, if the true coefficient
values were exactly known, the error in every prediction (big or small)
would be be drawn from the same normal distribution, and the errors
in any two predictions would be statistically independent.
In some settings these strong assumptions can be justified on the basis
of established theory and practice or on physical and economic reasoning
or on the design of an experiment, but in many situations, especially
those in which model selection is one of the goals, their validity
must be confirmed through exploratory data analysis and careful examination
of diagnostic statistics and charts that are available in the regression
model output.  Violations that are detected may point you in the direction
of a better model.
To see the model equation written out, unhide the rows at the top of
this worksheet.</t>
        </r>
      </text>
    </comment>
    <comment ref="B1" authorId="0" shapeId="0">
      <text>
        <r>
          <rPr>
            <sz val="8"/>
            <color indexed="81"/>
            <rFont val="Tahoma"/>
            <family val="2"/>
          </rPr>
          <t>Model 2.0 (#vars=1, n=245, AdjRsq=0.493)
Dependent variable = Y 
Run time = 2/15/2018 1:37:20 PM
File name = RegressItPCtest2.xlsx
Computer name = FACDS2140
Program file name = RegressItPC
Version number = 2018.02.15
Execution time = 00h:00m:01s</t>
        </r>
      </text>
    </comment>
    <comment ref="B9" authorId="0" shapeId="0">
      <text>
        <r>
          <rPr>
            <sz val="8"/>
            <color indexed="81"/>
            <rFont val="Tahoma"/>
            <family val="2"/>
          </rPr>
          <t>R-squared is the fraction by which the sample variance of the model's
errors is less than the sample variance of the dependent variable,
i.e., it is the fractional reduction in error variance compared to
what would be obtained with a constant-only model. Equivalently, it
is equal to 1 minus the square of {the sample standard deviation of
the errors divided by the sample standard deviation of the dependent
variable}.
There is no absolute standard for an acceptable value of this statistic.
 That depends on the nature of the data, the variance-changing transformations
(if any) that have already been applied to the dependent variable,
the decision or inference context in which the model is to be used,
and the reasonableness of  the model's assumptions in that context.
If the setting is one in which the model equation is given (as in a
designed experiment) and interest centers on whether the effects of
independent variables are non-zero rather than on their predictive
accuracy in individual cases, then a low value of R-squared may not
be a cause for concern.  The F-statistic may be relatively more important
in that case.
If the setting is one in which the variables are time series and there
is a very strong and visually obvious time pattern in the dependent
variable (e.g., a trend or random-walk or seasonal pattern), then you
should expect to be able to achieve a very high value of R-squared.
 A better measure of the model's usefulness in that case is to compare
its error statistics against those of a naive time series model.  The
mean absolute scaled error (MASE) statistic provides such a test.</t>
        </r>
      </text>
    </comment>
    <comment ref="C9" authorId="0" shapeId="0">
      <text>
        <r>
          <rPr>
            <sz val="8"/>
            <color indexed="81"/>
            <rFont val="Tahoma"/>
            <family val="2"/>
          </rPr>
          <t>Adjusted R-squared is an unbiased estimate of the fractional reduction
in error variance that the regression model achieves relative to a
constant-only model.  It is equal to 1 minus the square of {the standard
error of the regression divided by the sample standard deviation of
the dependent variable}.</t>
        </r>
      </text>
    </comment>
    <comment ref="D9" authorId="0" shapeId="0">
      <text>
        <r>
          <rPr>
            <sz val="8"/>
            <color indexed="81"/>
            <rFont val="Tahoma"/>
            <family val="2"/>
          </rPr>
          <t>The standard error of the regression is the estimated standard deviation
of the errors that the model would make if the values of its coefficients
were exactly known, assuming that the model is correct.
It is equal to the sample standard deviation of the errors multiplied
by a degree-of-freedom adjustment factor which is the square root of
(n-1)/(n-k-1), where n is the sample size and k is the number of independent
variables. Equivalently, it is the square root of the residual mean
square in the ANOVA table, as in the cell formula used here.
The standard error of the regression can also be expressed as the standard
deviation of the dependent variable multiplied by the square root of
1 minus adjusted R-squared. Thus, for models fitted to the same sample
of the same dependent variable, the standard error of the regression
goes down as adjusted R-squared goes up and vice versa.
The standard error of the regression is a lower bound on the standard
error of any forecast from the model. In that sense it can be viewed
as the model's bottom line in real terms for purposes of forecasting.
Note that it is measured in the same units as the dependent variable,
so its value also depends on how that variable is scaled.</t>
        </r>
      </text>
    </comment>
    <comment ref="E9" authorId="0" shapeId="0">
      <text>
        <r>
          <rPr>
            <sz val="8"/>
            <color indexed="81"/>
            <rFont val="Tahoma"/>
            <family val="2"/>
          </rPr>
          <t>This is the standard deviation of the dependent variable, which would
be the standard error of the regression in a constant-only model.</t>
        </r>
      </text>
    </comment>
    <comment ref="F9" authorId="0" shapeId="0">
      <text>
        <r>
          <rPr>
            <sz val="8"/>
            <color indexed="81"/>
            <rFont val="Tahoma"/>
            <family val="2"/>
          </rPr>
          <t>The number of fitted values is the number of rows in the sample for
which values of the dependent variable and all the independent variables
are available.   If it is less than the number of data rows in the
file and/or it varies among models, then some variables in the model
have missing values (blanks or text in some cells).  In such cases
you should make sure that you understand the reasons for the missing
values and be cautious in comparing models whose samples are not the
same.  You may want to avoid using predictors whose sample sizes are
much less than those of other variables.  Note that time transformations
such as lags and differences will reduce the sample size by the number
of lags they use.  In some situations where samples differ among models
that are being compared, you may want to make a second copy of the
dependent variable and delete its values in rows where independent
variables in any of the models have missing values.</t>
        </r>
      </text>
    </comment>
    <comment ref="G9" authorId="0" shapeId="0">
      <text>
        <r>
          <rPr>
            <sz val="8"/>
            <color indexed="81"/>
            <rFont val="Tahoma"/>
            <family val="2"/>
          </rPr>
          <t>The number of missing values is the number of rows in which any of
the variables included in the model are missing or have non-numeric
values.</t>
        </r>
      </text>
    </comment>
    <comment ref="H9" authorId="0" shapeId="0">
      <text>
        <r>
          <rPr>
            <sz val="8"/>
            <color indexed="81"/>
            <rFont val="Tahoma"/>
            <family val="2"/>
          </rPr>
          <t>The critical t-value is the number of standard errors to be added to
and subtracted from estimated model coefficients and forecasts in order
to compute the corresponding upper and lower confidence limits.   The
formulas for these calculations are contained in the confidence limit
cells on this worksheet.  The critical t-value is determined by the
chosen confidence level and the model's number of degrees of freedom
for error (number of fitted values minus number of parameters, including
the constant), using Excel's TINV (t-inverse) function.  It is approximately
equal to 2 for a 95% confidence interval unless the number of degrees
of freedom is very small.</t>
        </r>
      </text>
    </comment>
    <comment ref="I9" authorId="0" shapeId="0">
      <text>
        <r>
          <rPr>
            <sz val="8"/>
            <color indexed="81"/>
            <rFont val="Tahoma"/>
            <family val="2"/>
          </rPr>
          <t>The confidence level in the cell below is linked to confidence interval
formulas on the worksheet and is adjustable.  You can enter a new value
or use the Conf+ and Conf-  buttons on the RegressIt ribbon to change
it.</t>
        </r>
      </text>
    </comment>
    <comment ref="A12" authorId="0" shapeId="0">
      <text>
        <r>
          <rPr>
            <sz val="8"/>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A13" authorId="0" shapeId="0">
      <text>
        <r>
          <rPr>
            <sz val="8"/>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B13" authorId="0" shapeId="0">
      <text>
        <r>
          <rPr>
            <sz val="8"/>
            <color indexed="81"/>
            <rFont val="Tahoma"/>
            <family val="2"/>
          </rPr>
          <t>The coefficient of an independent variable is the change in the predicted
value of the dependent variable per unit of change in that variable,
holding the other variables fixed at any values of their own.  In a
multiple regression model its value depends to some extent on which
other variables are included (i.e., on which other things are held
to be equal as it is hypothetically varied), and its magnitude or even
its sign may change if other variables with which it is correlated
are added or removed.
The coefficient is measured in units of the dependent variable divided
by units of the independent variable, so its value depends on how the
variables are scaled as well as on the estimated strength of their
statistical relationships.
If the coefficient of an important variable is huge or tiny relative
to the number of digits visible in the cell in all of your models,
then for easier reading of the results you may wish to consider changing
its units by rescaling it by several powers of 10 before doing your
analysis.</t>
        </r>
      </text>
    </comment>
    <comment ref="C13" authorId="0" shapeId="0">
      <text>
        <r>
          <rPr>
            <sz val="8"/>
            <color indexed="81"/>
            <rFont val="Tahoma"/>
            <family val="2"/>
          </rPr>
          <t>The standard error of a coefficient is the (estimated) standard deviation
of the error that has been made in estimating it from the given sample
of data in the context of the given model.
In general it gets smaller in proportion to 1 divided by the square
root of the sample size as the sample size increases.  Thus, 4 times
as much data should be expected to reduce the standard errors of all
the coefficient estimates by a factor of 2 (approximately), assuming
that the additional data is described by the same model.</t>
        </r>
      </text>
    </comment>
    <comment ref="D13" authorId="0" shapeId="0">
      <text>
        <r>
          <rPr>
            <sz val="8"/>
            <color indexed="81"/>
            <rFont val="Tahoma"/>
            <family val="2"/>
          </rPr>
          <t xml:space="preserve">The t-statistic of an independent variable is its estimated coefficient
divided by the coefficient's own standard error, i.e., its number of
standard errors away from zero.  The t-stat's value (which has the
same sign as the coefficient) is an indicator of whether that variable
has been found to have a measurably non-zero effect in explaining or
predicting variations in the dependent variable, in the context of
other variables included in the same model.
The t-statistic associated with any one variable is model-dependent.
 Its value may change, sometimes significantly, if other related variables
are added or removed.  Also, the t-stat of a variable whose true coefficient
is non-zero tends to grow larger in magnitude as the sample size increases,
because standard errors of coefficients grow smaller as the sample
size increases.
A commonly used rule of thumb is that a variable's contribution to
a model is not statistically significant if its t-stat is less than
2 in absolute value, i.e., if its estimated value is less than 2 standard
errors away from zero, which is the approximate standard for significance
at the 0.05 level. This is not a hard-and-fast rule, but as a practical
matter the removal of a variable whose t-stat is much less than 2 in
magnitude will probably not increase the standard error of the regression
by very much.
Whether a variable should be removed also depends on other considerations,
such as the objectives of the analysis and whether there are other
supporting arguments for its use in the presence of the other variables.
  If the model specification is a priori unknown and the data have
been collected in an ad hoc fashion, simpler is generally better. </t>
        </r>
      </text>
    </comment>
    <comment ref="E13" authorId="0" shapeId="0">
      <text>
        <r>
          <rPr>
            <sz val="8"/>
            <color indexed="81"/>
            <rFont val="Tahoma"/>
            <family val="2"/>
          </rPr>
          <t>The P-value of a coefficient is determined from its t-stat.   It is
the probability of obtaining a t-stat that large or larger in magnitude
if the true coefficient of that variable is zero and the model assumptions
are otherwise correct.  Under those assumptions, the distribution of
the t-statistic is a Student's t distribution, which is almost the
same as a standard normal distribution unless the sample size is very
small.  P-values are computed from t-stats using Excel's TDIST function,
as seen in the cell formulas below.
A common rule of thumb is that a variable's contribution is not statistically
significant if its coefficient's P-value is greater than 0.05, which
indicates that there is a 1-in-20 or greater probability of obtaining
a value that large in magnitude by pure chance if the true coefficient
of that variable is zero and the rest of the model specification is
correct.  This is essentially the same standard of insignificance as
having a t-stat less than 2 in magnitude.
It is not required to keep a variable whose P-value is less than 0.05
or remove one whose P-value is greater than 0.05, although you should
generally avoid including marginally significant variables without
other supporting logic or design considerations.  Sometimes a group
of variables forms a logical unit that should not be broken up.  For
example, they might be dummy variables that are used to identify mutually
exclusive treatments in a designed experiment, or they might be seasons
of the year in a time series forecasting model.  In such cases you
generally do not pick and choose among them individually on the basis
of their P-values and t-stats.</t>
        </r>
      </text>
    </comment>
    <comment ref="F13" authorId="0" shapeId="0">
      <text>
        <r>
          <rPr>
            <sz val="8"/>
            <color indexed="81"/>
            <rFont val="Tahoma"/>
            <family val="2"/>
          </rPr>
          <t>Lower and upper confidence limits for a coefficient estimate are obtained
by adding or subtracting the appropriate number of standard errors
for that confidence level. They can be roughly interpreted as intervals
within which there is a given probability that the true value lies
if the model's assumptions are all correct and there is no a priori
information about its coefficient values.*
95% confidence limits, which are commonly reported by default, are
roughly equal to the coefficient estimate plus or minus 2 standard
errors.  The 95% level has no cosmic significance other than that it
is based (approximately) on a nice round number of standard errors
and a 19-out-of-20 chance is an easy-to-understand benchmark of quite-likely-but-not-certain.
 You may sometimes wish to present intervals for other confidence levels
depending on the decision context.  For example, a 50% confidence interval
(a coin flip) is plus-or-minus two-thirds of a standard error.
The exact number of standard errors to use for a given confidence level
is computed by the formula in cell H10 on this worksheet, which uses
Excel's TINV (t-inverse) function.  This formula contains a cell reference
to the confidence level entered in cell I10, which can be changed interactively
after fitting the model by using the Conf+ and Conf- buttons on the
RegressIt toolbar.  Try this and watch how all the numbers change.
There is a logical connection between confidence intervals and P-values
as indicators of significantly-different-from-zero: a P-value is less
than x if and only if the corresponding 100(1-x)% confidence interval
does not include zero.  In particular, P&lt;0.05 if and only if the 95%
confidence interval does not include zero.
*Technically speaking, an x% confidence interval is an interval calculated
by a mathematical formula which has the property that, over the long
run, when applied to models whose assumptions are correct, it will
cover the true value x% of the time.  This is not quite the same thing
as saying that it has an x% chance of covering the true value in your
particular case, particularly if the correctness of your model is not
established.</t>
        </r>
      </text>
    </comment>
    <comment ref="H13" authorId="0" shapeId="0">
      <text>
        <r>
          <rPr>
            <sz val="8"/>
            <color indexed="81"/>
            <rFont val="Tahoma"/>
            <family val="2"/>
          </rPr>
          <t>The variance inflation factor (VIF) of an independent variable is a
measure of its multicollinearity with the other variables, i.e., its
redundance with them in the context of a linear equation. In particular,
the VIF of an independent variable is equal to 1 divided by 1-minus-R-squared
in a regression of itself on the others. If there is only 1 variable,
its VIF is 1 by definition.  VIF's are not computed for models with
no constant.
A commonly used standard of technically-significant multicollinearity
is a VIF is greater than 10, which corresponds to an R-squared of 90%
in regressing that independent variable on the others.
The VIF's do not depend on the correlations between the independent
variables and the dependent variable, though, so a large VIF is not
necessarily proof that a given variable adds no useful information
for purposes of prediction.
The correlation matrix of coefficient estimates provides another indicator
of whether one independent variable may be redundant with others in
the context of the given model, and it also indicates which other variables
are the likely suspects.</t>
        </r>
      </text>
    </comment>
    <comment ref="I13" authorId="0" shapeId="0">
      <text>
        <r>
          <rPr>
            <sz val="8"/>
            <color indexed="81"/>
            <rFont val="Tahoma"/>
            <family val="2"/>
          </rPr>
          <t>The standardized coefficient of an independent variable (also called
a beta coefficient) is the value that its coefficient would have if
all the variables were standardized, i.e., converted to units of standard
deviations from their respective means, then fitted by a model without
a constant.  Thus, it is the predicted number of standard deviations
of change in the dependent variable per standard deviation of change
in the independent variable, other things being equal.
The standardized coefficient can be computed from the unstandardized
one by multiplying it by that variable's standard deviation and then
dividing by the standard deviation of the dependent variable, as shown
in the formulas in the cells below.  The standard deviation of the
independent variable is embedded in this formula as a number.  The
standardized value of the constant is zero by definition, and standardized
coefficients are not computed for models with no constant.
The standardized coefficient is a unit-free indicator of the sign and
magnitude of the predictive effect of an independent variable.  In
a simple (1-variable) regression model the standardized coefficient
of an independent variable is simply its correlation with the dependent
variable, which is a number between -1 and +1.  In a multiple regression
model the standardized coefficients also generally fall in this range,
with values closer to -1 or +1 indicating more importance.  Values
outside this range could be indicators of multicollinearity.
Variables whose standardized coefficients are largest in magnitude
are not necessarily those whose t-stats are the largest in magnitude.
 A standardized coefficient measures the relative predictive value
of the variable in real terms, while a t-stat measures whether its
predictive value has merely been determined to be something other than
zero.  Also, unlike t-stats, standardized coefficients of correctly
included variables do not systematically get larger in magnitude as
the sample size increases.  Rather, their estimates just become more
accurate.</t>
        </r>
      </text>
    </comment>
    <comment ref="A14" authorId="0" shapeId="0">
      <text>
        <r>
          <rPr>
            <sz val="8"/>
            <color indexed="81"/>
            <rFont val="Tahoma"/>
            <family val="2"/>
          </rPr>
          <t>The inclusion of a constant in the model ensures that the forecasts
are centered in the data in the sense that the predicted value of the
dependent variable equals its mean value when the independent variables
are all equal to their own respective mean values, and the mean value
of the model's errors is zero within the sample. i.e., it is unbiased.
The constant is also the value that would be predicted for the dependent
variable if the values of the independent variables were all equal
to zero, but often that situation is not of interest or not even logically
possible.</t>
        </r>
      </text>
    </comment>
    <comment ref="A17" authorId="0" shapeId="0">
      <text>
        <r>
          <rPr>
            <sz val="8"/>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A18" authorId="0" shapeId="0">
      <text>
        <r>
          <rPr>
            <sz val="8"/>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E18" authorId="0" shapeId="0">
      <text>
        <r>
          <rPr>
            <sz val="8"/>
            <color indexed="81"/>
            <rFont val="Tahoma"/>
            <family val="2"/>
          </rPr>
          <t>Each of the sums of squares in the ANOVA table is divided by its associated
number of degrees of freedom in order to obtain a corresponding mean
square.  For the regression sum of squares the number of degrees of
freedom is the number of independent variables, and for the residual
sum of squares the number of degrees of freedom is the sample size
minus the total number of model parameters, including the constant.
 The ratio of their mean squares is the F statistic.  In other words,
the F-statistic is the explained-variance-per-degree-of-freedom-used
divided by the unexplained-variance-per-degree-of-freedom-not-used.
Ideally the F-statistic is significantly larger than 1, indicating
that the independent variables explain more than their share of the
variance of the independent variable, i.e., more than would have been
expected by chance.    The corresponding P-value indicates the statistical
significance of the amount by which the F-statistic is greater than
1, taking into account the sample size and number of variables.   In
a simple regression model the F-statistic is merely the square of the
t-statistic of the single independent variable, and their P-values
are the same.
The F-statistic is of particular interest in designed experiments where
the independent variables are dummies for mutually exclusive treatment
conditions and interactions and the question is whether they have a
non-zero overall effect.  In such settings the F-statistic may be much
more important than R-squared or the standard error of the regression
or the statistical significance of individual coefficients.</t>
        </r>
      </text>
    </comment>
    <comment ref="A23" authorId="0" shapeId="0">
      <text>
        <r>
          <rPr>
            <sz val="8"/>
            <color indexed="81"/>
            <rFont val="Tahoma"/>
            <family val="2"/>
          </rPr>
          <t>The line fit plot for a simple (1-variable) regression model gives
the best visual summary of the model's properties (namely, a straight
line fitted to a scatterplot of the dependent variable versus the independent
variable) and it includes confidence bands for predictions.  If the
editable-chart option has been chosen, the confidence bands adjust
interactively when the confidence level is increased or decreased via
the buttons on the ribbon.   The table of values that are used to plot
the regression line and confidence bands is located behind the chart.
 If you drag the chart to the right, you can view the numbers as well
as the underlying formulas.  The values of the independent variable
in the first column can also be changed.</t>
        </r>
      </text>
    </comment>
    <comment ref="A24" authorId="0" shapeId="0">
      <text>
        <r>
          <rPr>
            <sz val="8"/>
            <color indexed="81"/>
            <rFont val="Tahoma"/>
            <family val="2"/>
          </rPr>
          <t>The line fit plot for a simple (1-variable) regression model gives
the best visual summary of the model's properties (namely, a straight
line fitted to a scatterplot of the dependent variable versus the independent
variable) and it includes confidence bands for predictions.  If the
editable-chart option has been chosen, the confidence bands adjust
interactively when the confidence level is increased or decreased via
the buttons on the ribbon.   The table of values that are used to plot
the regression line and confidence bands is located behind the chart.
 If you drag the chart to the right, you can view the numbers as well
as the underlying formulas.  The values of the independent variable
in the first column can also be changed.</t>
        </r>
      </text>
    </comment>
    <comment ref="B46" authorId="0" shapeId="0">
      <text>
        <r>
          <rPr>
            <sz val="8"/>
            <color indexed="81"/>
            <rFont val="Tahoma"/>
            <family val="2"/>
          </rPr>
          <t>The sample mean of the errors is always zero if the model includes
a constant term.  It may be nonzero, reflecting positive or negative
bias in the predictions, if a constant is not included.</t>
        </r>
      </text>
    </comment>
    <comment ref="C46" authorId="0" shapeId="0">
      <text>
        <r>
          <rPr>
            <sz val="8"/>
            <color indexed="81"/>
            <rFont val="Tahoma"/>
            <family val="2"/>
          </rPr>
          <t>Root-Mean-Squared-Error is the square root of the average of the squared
errors, which is same as the population standard deviation of the errors
if the model includes a constant.  It is always slightly smaller than
the standard error of the regression, because it does not include an
adjustment for the number of parameters used to fit the data.</t>
        </r>
      </text>
    </comment>
    <comment ref="D46" authorId="0" shapeId="0">
      <text>
        <r>
          <rPr>
            <sz val="8"/>
            <color indexed="81"/>
            <rFont val="Tahoma"/>
            <family val="2"/>
          </rPr>
          <t>Mean Absolute Error is the average of the absolute values of the errors,
which is another measure of the size of a typical error.  It is less
sensitive than RMSE to the presence of extreme values and hence may
have more practical significance when the error distribution has long
tails.   MAE is typically smaller than RMSE, about 20% less on average
for errors that are normally distributed, so these two statistics cannot
be compared to each other.</t>
        </r>
      </text>
    </comment>
    <comment ref="G46" authorId="0" shapeId="0">
      <text>
        <r>
          <rPr>
            <sz val="8"/>
            <color indexed="81"/>
            <rFont val="Tahoma"/>
            <family val="2"/>
          </rPr>
          <t>Mean Absolute Percentage Error is the average of the absolute values
of the errors expressed in percentage terms.   It is defined only in
the case where the dependent variable is strictly positive.</t>
        </r>
      </text>
    </comment>
    <comment ref="H46" authorId="0" shapeId="0">
      <text>
        <r>
          <rPr>
            <sz val="8"/>
            <color indexed="81"/>
            <rFont val="Tahoma"/>
            <family val="2"/>
          </rPr>
          <t>The adjusted Anderson-Darling (A-D*) statistic provides a test of the
assumption that the errors of the model are normally distributed, which
is the basis of formulas for calculating P-values and confidence intervals.
 It is a weighted measure of the difference between the actual and
theoretical cumulative distribution functions, with relatively more
weight placed on the tails of the distribution, and it works well for
small sample sizes.  The Jarque-Bera statistic is better for large
samples for computational efficiency.  Here the A-D* stat is used for
sample sizes less than 2000 and the Jarque-Bera stat otherwise.
The cell below shows the approximate P-value for judging the significance
of non-normality of the errors, as determined from the A-D* stat. 
  If non-normality is very significant, i.e., if the P-value is very
small (see the attached cell comment for details), it is advisable
to study the other residual stats and plots to determine whether the
problem is systematic (possibly indicating the need for a nonlinear
transformation of the dependent variable, or the inclusion of a higher-order
term as a predictor, or partitioning of the sample), or whether it
is due to the influence of a small number of extreme errors, or whether
it is an artifact of a large sample.  If the sample is very large,
a violation of normality that is small in practical terms could be
flagged as `statistically` significant.
If no other flaws in the model are apparent, then the unexplainable
variations in the data just may not be normally distributed.  That
can happen if the situation is one in which the assumptions of the
Central Limit Theorem (many independent additive sources of noise)
do not apply to the errors.  The normal-error-distribution property
is not an absolute requirement for a useful regression model, particularly
if only point estimates are needed.  Its most important roles are in
placing well-calibrated confidence intervals around forecasts and in
hypothesis testing with very small samples.
The A-D* stat is not the bottom line, just one of many indicators of
problems with model assumptions, and it should not be used as a basis
for ranking of models. Normality is much less important than the other
assumptions of regression analysis (relevance of the independent variables,
linearity and additivity of their effects, independence and constant
variance of the errors).   If it is violated, you should look for evidence
of more serious problems.</t>
        </r>
      </text>
    </comment>
    <comment ref="H47" authorId="0" shapeId="0">
      <text>
        <r>
          <rPr>
            <sz val="8"/>
            <color indexed="81"/>
            <rFont val="Tahoma"/>
            <family val="2"/>
          </rPr>
          <t>Adjusted Anderson-Darling statistic = 4.23 (P=0.000)
The critical value is 0.752 [1.035, 1.443] for non-normality
that is significant at the 0.05 [0.01, 0.001] level.
Jarque-Bera statistic = 263.28 (P=0.000)
The critical value is 5.991 [9.210, 13.816] for non-normality
that is significant at the 0.05 [0.01, 0.001] level,
 based on a Chi-square distribution with 2 degrees of freedom.</t>
        </r>
      </text>
    </comment>
    <comment ref="A50" authorId="0" shapeId="0">
      <text>
        <r>
          <rPr>
            <sz val="8"/>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51" authorId="0" shapeId="0">
      <text>
        <r>
          <rPr>
            <sz val="8"/>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80" authorId="0" shapeId="0">
      <text>
        <r>
          <rPr>
            <sz val="8"/>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81" authorId="0" shapeId="0">
      <text>
        <r>
          <rPr>
            <sz val="8"/>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102" authorId="0" shapeId="0">
      <text>
        <r>
          <rPr>
            <sz val="8"/>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103" authorId="0" shapeId="0">
      <text>
        <r>
          <rPr>
            <sz val="8"/>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124" authorId="0" shapeId="0">
      <text>
        <r>
          <rPr>
            <sz val="8"/>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25" authorId="0" shapeId="0">
      <text>
        <r>
          <rPr>
            <sz val="8"/>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46" authorId="0" shapeId="0">
      <text>
        <r>
          <rPr>
            <sz val="8"/>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47" authorId="0" shapeId="0">
      <text>
        <r>
          <rPr>
            <sz val="8"/>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68" authorId="0" shapeId="0">
      <text>
        <r>
          <rPr>
            <sz val="8"/>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 ref="A169" authorId="0" shapeId="0">
      <text>
        <r>
          <rPr>
            <sz val="8"/>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List>
</comments>
</file>

<file path=xl/comments3.xml><?xml version="1.0" encoding="utf-8"?>
<comments xmlns="http://schemas.openxmlformats.org/spreadsheetml/2006/main">
  <authors>
    <author>Bob Nau</author>
  </authors>
  <commentList>
    <comment ref="A1" authorId="0" shapeId="0">
      <text>
        <r>
          <rPr>
            <sz val="8"/>
            <color indexed="81"/>
            <rFont val="Tahoma"/>
            <family val="2"/>
          </rPr>
          <t>In a linear regression model the predicted value of the dependent variable
is assumed to be a linear, additive function of the independent variables,
i.e., a constant plus the sum of the independent variables respectively
multiplied by other constants, which are called their coefficients.
These are strong assumptions.  They imply that the predicted change
in the dependent variable is a straight-line function of the change
in any independent variable, holding the other variables fixed at any
values of their own, and the slope of this line does not depend on
the other variables, and the predicted change in the dependent variable
due to simultaneous changes in two or more independent variables is
the sum of the changes that would be predicted due to each one separately.
Furthermore, the unexplained variations in the data are usually assumed
to be independently and identically normally distributed for all values
of the independent variables.   In other words, if the true coefficient
values were exactly known, the error in every prediction (big or small)
would be be drawn from the same normal distribution, and the errors
in any two predictions would be statistically independent.
In some settings these strong assumptions can be justified on the basis
of established theory and practice or on physical and economic reasoning
or on the design of an experiment, but in many situations, especially
those in which model selection is one of the goals, their validity
must be confirmed through exploratory data analysis and careful examination
of diagnostic statistics and charts that are available in the regression
model output.  Violations that are detected may point you in the direction
of a better model.
To see the model equation written out, unhide the rows at the top of
this worksheet.</t>
        </r>
      </text>
    </comment>
    <comment ref="B1" authorId="0" shapeId="0">
      <text>
        <r>
          <rPr>
            <sz val="8"/>
            <color indexed="81"/>
            <rFont val="Tahoma"/>
            <family val="2"/>
          </rPr>
          <t>Model 3.0 (#vars=3, n=245, AdjRsq=0.662)
Dependent variable = Y 
Run time = 2/15/2018 1:38:33 PM
File name = RegressItPCtest3.xlsx
Computer name = FACDS2140
Program file name = RegressItPC
Version number = 2018.02.15
Execution time = 00h:00m:02s</t>
        </r>
      </text>
    </comment>
    <comment ref="B9" authorId="0" shapeId="0">
      <text>
        <r>
          <rPr>
            <sz val="8"/>
            <color indexed="81"/>
            <rFont val="Tahoma"/>
            <family val="2"/>
          </rPr>
          <t>R-squared is the fraction by which the sample variance of the model's
errors is less than the sample variance of the dependent variable,
i.e., it is the fractional reduction in error variance compared to
what would be obtained with a constant-only model. Equivalently, it
is equal to 1 minus the square of {the sample standard deviation of
the errors divided by the sample standard deviation of the dependent
variable}.
There is no absolute standard for an acceptable value of this statistic.
 That depends on the nature of the data, the variance-changing transformations
(if any) that have already been applied to the dependent variable,
the decision or inference context in which the model is to be used,
and the reasonableness of  the model's assumptions in that context.
If the setting is one in which the model equation is given (as in a
designed experiment) and interest centers on whether the effects of
independent variables are non-zero rather than on their predictive
accuracy in individual cases, then a low value of R-squared may not
be a cause for concern.  The F-statistic may be relatively more important
in that case.
If the setting is one in which the variables are time series and there
is a very strong and visually obvious time pattern in the dependent
variable (e.g., a trend or random-walk or seasonal pattern), then you
should expect to be able to achieve a very high value of R-squared.
 A better measure of the model's usefulness in that case is to compare
its error statistics against those of a naive time series model.  The
mean absolute scaled error (MASE) statistic provides such a test.</t>
        </r>
      </text>
    </comment>
    <comment ref="C9" authorId="0" shapeId="0">
      <text>
        <r>
          <rPr>
            <sz val="8"/>
            <color indexed="81"/>
            <rFont val="Tahoma"/>
            <family val="2"/>
          </rPr>
          <t>Adjusted R-squared is an unbiased estimate of the fractional reduction
in error variance that the regression model achieves relative to a
constant-only model.  It is equal to 1 minus the square of {the standard
error of the regression divided by the sample standard deviation of
the dependent variable}.</t>
        </r>
      </text>
    </comment>
    <comment ref="D9" authorId="0" shapeId="0">
      <text>
        <r>
          <rPr>
            <sz val="8"/>
            <color indexed="81"/>
            <rFont val="Tahoma"/>
            <family val="2"/>
          </rPr>
          <t>The standard error of the regression is the estimated standard deviation
of the errors that the model would make if the values of its coefficients
were exactly known, assuming that the model is correct.
It is equal to the sample standard deviation of the errors multiplied
by a degree-of-freedom adjustment factor which is the square root of
(n-1)/(n-k-1), where n is the sample size and k is the number of independent
variables. Equivalently, it is the square root of the residual mean
square in the ANOVA table, as in the cell formula used here.
The standard error of the regression can also be expressed as the standard
deviation of the dependent variable multiplied by the square root of
1 minus adjusted R-squared. Thus, for models fitted to the same sample
of the same dependent variable, the standard error of the regression
goes down as adjusted R-squared goes up and vice versa.
The standard error of the regression is a lower bound on the standard
error of any forecast from the model. In that sense it can be viewed
as the model's bottom line in real terms for purposes of forecasting.
Note that it is measured in the same units as the dependent variable,
so its value also depends on how that variable is scaled.</t>
        </r>
      </text>
    </comment>
    <comment ref="E9" authorId="0" shapeId="0">
      <text>
        <r>
          <rPr>
            <sz val="8"/>
            <color indexed="81"/>
            <rFont val="Tahoma"/>
            <family val="2"/>
          </rPr>
          <t>This is the standard deviation of the dependent variable, which would
be the standard error of the regression in a constant-only model.</t>
        </r>
      </text>
    </comment>
    <comment ref="F9" authorId="0" shapeId="0">
      <text>
        <r>
          <rPr>
            <sz val="8"/>
            <color indexed="81"/>
            <rFont val="Tahoma"/>
            <family val="2"/>
          </rPr>
          <t>The number of fitted values is the number of rows in the sample for
which values of the dependent variable and all the independent variables
are available.   If it is less than the number of data rows in the
file and/or it varies among models, then some variables in the model
have missing values (blanks or text in some cells).  In such cases
you should make sure that you understand the reasons for the missing
values and be cautious in comparing models whose samples are not the
same.  You may want to avoid using predictors whose sample sizes are
much less than those of other variables.  Note that time transformations
such as lags and differences will reduce the sample size by the number
of lags they use.  In some situations where samples differ among models
that are being compared, you may want to make a second copy of the
dependent variable and delete its values in rows where independent
variables in any of the models have missing values.</t>
        </r>
      </text>
    </comment>
    <comment ref="G9" authorId="0" shapeId="0">
      <text>
        <r>
          <rPr>
            <sz val="8"/>
            <color indexed="81"/>
            <rFont val="Tahoma"/>
            <family val="2"/>
          </rPr>
          <t>The number of missing values is the number of rows in which any of
the variables included in the model are missing or have non-numeric
values.</t>
        </r>
      </text>
    </comment>
    <comment ref="H9" authorId="0" shapeId="0">
      <text>
        <r>
          <rPr>
            <sz val="8"/>
            <color indexed="81"/>
            <rFont val="Tahoma"/>
            <family val="2"/>
          </rPr>
          <t>The critical t-value is the number of standard errors to be added to
and subtracted from estimated model coefficients and forecasts in order
to compute the corresponding upper and lower confidence limits.   The
formulas for these calculations are contained in the confidence limit
cells on this worksheet.  The critical t-value is determined by the
chosen confidence level and the model's number of degrees of freedom
for error (number of fitted values minus number of parameters, including
the constant), using Excel's TINV (t-inverse) function.  It is approximately
equal to 2 for a 95% confidence interval unless the number of degrees
of freedom is very small.</t>
        </r>
      </text>
    </comment>
    <comment ref="I9" authorId="0" shapeId="0">
      <text>
        <r>
          <rPr>
            <sz val="8"/>
            <color indexed="81"/>
            <rFont val="Tahoma"/>
            <family val="2"/>
          </rPr>
          <t>The confidence level in the cell below is linked to confidence interval
formulas on the worksheet and is adjustable.  You can enter a new value
or use the Conf+ and Conf-  buttons on the RegressIt ribbon to change
it.</t>
        </r>
      </text>
    </comment>
    <comment ref="A12" authorId="0" shapeId="0">
      <text>
        <r>
          <rPr>
            <sz val="8"/>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A13" authorId="0" shapeId="0">
      <text>
        <r>
          <rPr>
            <sz val="8"/>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B13" authorId="0" shapeId="0">
      <text>
        <r>
          <rPr>
            <sz val="8"/>
            <color indexed="81"/>
            <rFont val="Tahoma"/>
            <family val="2"/>
          </rPr>
          <t>The coefficient of an independent variable is the change in the predicted
value of the dependent variable per unit of change in that variable,
holding the other variables fixed at any values of their own.  In a
multiple regression model its value depends to some extent on which
other variables are included (i.e., on which other things are held
to be equal as it is hypothetically varied), and its magnitude or even
its sign may change if other variables with which it is correlated
are added or removed.
The coefficient is measured in units of the dependent variable divided
by units of the independent variable, so its value depends on how the
variables are scaled as well as on the estimated strength of their
statistical relationships.
If the coefficient of an important variable is huge or tiny relative
to the number of digits visible in the cell in all of your models,
then for easier reading of the results you may wish to consider changing
its units by rescaling it by several powers of 10 before doing your
analysis.</t>
        </r>
      </text>
    </comment>
    <comment ref="C13" authorId="0" shapeId="0">
      <text>
        <r>
          <rPr>
            <sz val="8"/>
            <color indexed="81"/>
            <rFont val="Tahoma"/>
            <family val="2"/>
          </rPr>
          <t>The standard error of a coefficient is the (estimated) standard deviation
of the error that has been made in estimating it from the given sample
of data in the context of the given model.
In general it gets smaller in proportion to 1 divided by the square
root of the sample size as the sample size increases.  Thus, 4 times
as much data should be expected to reduce the standard errors of all
the coefficient estimates by a factor of 2 (approximately), assuming
that the additional data is described by the same model.</t>
        </r>
      </text>
    </comment>
    <comment ref="D13" authorId="0" shapeId="0">
      <text>
        <r>
          <rPr>
            <sz val="8"/>
            <color indexed="81"/>
            <rFont val="Tahoma"/>
            <family val="2"/>
          </rPr>
          <t xml:space="preserve">The t-statistic of an independent variable is its estimated coefficient
divided by the coefficient's own standard error, i.e., its number of
standard errors away from zero.  The t-stat's value (which has the
same sign as the coefficient) is an indicator of whether that variable
has been found to have a measurably non-zero effect in explaining or
predicting variations in the dependent variable, in the context of
other variables included in the same model.
The t-statistic associated with any one variable is model-dependent.
 Its value may change, sometimes significantly, if other related variables
are added or removed.  Also, the t-stat of a variable whose true coefficient
is non-zero tends to grow larger in magnitude as the sample size increases,
because standard errors of coefficients grow smaller as the sample
size increases.
A commonly used rule of thumb is that a variable's contribution to
a model is not statistically significant if its t-stat is less than
2 in absolute value, i.e., if its estimated value is less than 2 standard
errors away from zero, which is the approximate standard for significance
at the 0.05 level. This is not a hard-and-fast rule, but as a practical
matter the removal of a variable whose t-stat is much less than 2 in
magnitude will probably not increase the standard error of the regression
by very much.
Whether a variable should be removed also depends on other considerations,
such as the objectives of the analysis and whether there are other
supporting arguments for its use in the presence of the other variables.
  If the model specification is a priori unknown and the data have
been collected in an ad hoc fashion, simpler is generally better. </t>
        </r>
      </text>
    </comment>
    <comment ref="E13" authorId="0" shapeId="0">
      <text>
        <r>
          <rPr>
            <sz val="8"/>
            <color indexed="81"/>
            <rFont val="Tahoma"/>
            <family val="2"/>
          </rPr>
          <t>The P-value of a coefficient is determined from its t-stat.   It is
the probability of obtaining a t-stat that large or larger in magnitude
if the true coefficient of that variable is zero and the model assumptions
are otherwise correct.  Under those assumptions, the distribution of
the t-statistic is a Student's t distribution, which is almost the
same as a standard normal distribution unless the sample size is very
small.  P-values are computed from t-stats using Excel's TDIST function,
as seen in the cell formulas below.
A common rule of thumb is that a variable's contribution is not statistically
significant if its coefficient's P-value is greater than 0.05, which
indicates that there is a 1-in-20 or greater probability of obtaining
a value that large in magnitude by pure chance if the true coefficient
of that variable is zero and the rest of the model specification is
correct.  This is essentially the same standard of insignificance as
having a t-stat less than 2 in magnitude.
It is not required to keep a variable whose P-value is less than 0.05
or remove one whose P-value is greater than 0.05, although you should
generally avoid including marginally significant variables without
other supporting logic or design considerations.  Sometimes a group
of variables forms a logical unit that should not be broken up.  For
example, they might be dummy variables that are used to identify mutually
exclusive treatments in a designed experiment, or they might be seasons
of the year in a time series forecasting model.  In such cases you
generally do not pick and choose among them individually on the basis
of their P-values and t-stats.</t>
        </r>
      </text>
    </comment>
    <comment ref="F13" authorId="0" shapeId="0">
      <text>
        <r>
          <rPr>
            <sz val="8"/>
            <color indexed="81"/>
            <rFont val="Tahoma"/>
            <family val="2"/>
          </rPr>
          <t>Lower and upper confidence limits for a coefficient estimate are obtained
by adding or subtracting the appropriate number of standard errors
for that confidence level. They can be roughly interpreted as intervals
within which there is a given probability that the true value lies
if the model's assumptions are all correct and there is no a priori
information about its coefficient values.*
95% confidence limits, which are commonly reported by default, are
roughly equal to the coefficient estimate plus or minus 2 standard
errors.  The 95% level has no cosmic significance other than that it
is based (approximately) on a nice round number of standard errors
and a 19-out-of-20 chance is an easy-to-understand benchmark of quite-likely-but-not-certain.
 You may sometimes wish to present intervals for other confidence levels
depending on the decision context.  For example, a 50% confidence interval
(a coin flip) is plus-or-minus two-thirds of a standard error.
The exact number of standard errors to use for a given confidence level
is computed by the formula in cell H10 on this worksheet, which uses
Excel's TINV (t-inverse) function.  This formula contains a cell reference
to the confidence level entered in cell I10, which can be changed interactively
after fitting the model by using the Conf+ and Conf- buttons on the
RegressIt toolbar.  Try this and watch how all the numbers change.
There is a logical connection between confidence intervals and P-values
as indicators of significantly-different-from-zero: a P-value is less
than x if and only if the corresponding 100(1-x)% confidence interval
does not include zero.  In particular, P&lt;0.05 if and only if the 95%
confidence interval does not include zero.
*Technically speaking, an x% confidence interval is an interval calculated
by a mathematical formula which has the property that, over the long
run, when applied to models whose assumptions are correct, it will
cover the true value x% of the time.  This is not quite the same thing
as saying that it has an x% chance of covering the true value in your
particular case, particularly if the correctness of your model is not
established.</t>
        </r>
      </text>
    </comment>
    <comment ref="H13" authorId="0" shapeId="0">
      <text>
        <r>
          <rPr>
            <sz val="8"/>
            <color indexed="81"/>
            <rFont val="Tahoma"/>
            <family val="2"/>
          </rPr>
          <t>The variance inflation factor (VIF) of an independent variable is a
measure of its multicollinearity with the other variables, i.e., its
redundance with them in the context of a linear equation. In particular,
the VIF of an independent variable is equal to 1 divided by 1-minus-R-squared
in a regression of itself on the others. If there is only 1 variable,
its VIF is 1 by definition.  VIF's are not computed for models with
no constant.
A commonly used standard of technically-significant multicollinearity
is a VIF is greater than 10, which corresponds to an R-squared of 90%
in regressing that independent variable on the others.
The VIF's do not depend on the correlations between the independent
variables and the dependent variable, though, so a large VIF is not
necessarily proof that a given variable adds no useful information
for purposes of prediction.
The correlation matrix of coefficient estimates provides another indicator
of whether one independent variable may be redundant with others in
the context of the given model, and it also indicates which other variables
are the likely suspects.</t>
        </r>
      </text>
    </comment>
    <comment ref="I13" authorId="0" shapeId="0">
      <text>
        <r>
          <rPr>
            <sz val="8"/>
            <color indexed="81"/>
            <rFont val="Tahoma"/>
            <family val="2"/>
          </rPr>
          <t>The standardized coefficient of an independent variable (also called
a beta coefficient) is the value that its coefficient would have if
all the variables were standardized, i.e., converted to units of standard
deviations from their respective means, then fitted by a model without
a constant.  Thus, it is the predicted number of standard deviations
of change in the dependent variable per standard deviation of change
in the independent variable, other things being equal.
The standardized coefficient can be computed from the unstandardized
one by multiplying it by that variable's standard deviation and then
dividing by the standard deviation of the dependent variable, as shown
in the formulas in the cells below.  The standard deviation of the
independent variable is embedded in this formula as a number.  The
standardized value of the constant is zero by definition, and standardized
coefficients are not computed for models with no constant.
The standardized coefficient is a unit-free indicator of the sign and
magnitude of the predictive effect of an independent variable.  In
a simple (1-variable) regression model the standardized coefficient
of an independent variable is simply its correlation with the dependent
variable, which is a number between -1 and +1.  In a multiple regression
model the standardized coefficients also generally fall in this range,
with values closer to -1 or +1 indicating more importance.  Values
outside this range could be indicators of multicollinearity.
Variables whose standardized coefficients are largest in magnitude
are not necessarily those whose t-stats are the largest in magnitude.
 A standardized coefficient measures the relative predictive value
of the variable in real terms, while a t-stat measures whether its
predictive value has merely been determined to be something other than
zero.  Also, unlike t-stats, standardized coefficients of correctly
included variables do not systematically get larger in magnitude as
the sample size increases.  Rather, their estimates just become more
accurate.</t>
        </r>
      </text>
    </comment>
    <comment ref="A14" authorId="0" shapeId="0">
      <text>
        <r>
          <rPr>
            <sz val="8"/>
            <color indexed="81"/>
            <rFont val="Tahoma"/>
            <family val="2"/>
          </rPr>
          <t>The inclusion of a constant in the model ensures that the forecasts
are centered in the data in the sense that the predicted value of the
dependent variable equals its mean value when the independent variables
are all equal to their own respective mean values, and the mean value
of the model's errors is zero within the sample. i.e., it is unbiased.
The constant is also the value that would be predicted for the dependent
variable if the values of the independent variables were all equal
to zero, but often that situation is not of interest or not even logically
possible.</t>
        </r>
      </text>
    </comment>
    <comment ref="A19" authorId="0" shapeId="0">
      <text>
        <r>
          <rPr>
            <sz val="8"/>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A20" authorId="0" shapeId="0">
      <text>
        <r>
          <rPr>
            <sz val="8"/>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E20" authorId="0" shapeId="0">
      <text>
        <r>
          <rPr>
            <sz val="8"/>
            <color indexed="81"/>
            <rFont val="Tahoma"/>
            <family val="2"/>
          </rPr>
          <t>Each of the sums of squares in the ANOVA table is divided by its associated
number of degrees of freedom in order to obtain a corresponding mean
square.  For the regression sum of squares the number of degrees of
freedom is the number of independent variables, and for the residual
sum of squares the number of degrees of freedom is the sample size
minus the total number of model parameters, including the constant.
 The ratio of their mean squares is the F statistic.  In other words,
the F-statistic is the explained-variance-per-degree-of-freedom-used
divided by the unexplained-variance-per-degree-of-freedom-not-used.
Ideally the F-statistic is significantly larger than 1, indicating
that the independent variables explain more than their share of the
variance of the independent variable, i.e., more than would have been
expected by chance.    The corresponding P-value indicates the statistical
significance of the amount by which the F-statistic is greater than
1, taking into account the sample size and number of variables.   In
a simple regression model the F-statistic is merely the square of the
t-statistic of the single independent variable, and their P-values
are the same.
The F-statistic is of particular interest in designed experiments where
the independent variables are dummies for mutually exclusive treatment
conditions and interactions and the question is whether they have a
non-zero overall effect.  In such settings the F-statistic may be much
more important than R-squared or the standard error of the regression
or the statistical significance of individual coefficients.</t>
        </r>
      </text>
    </comment>
    <comment ref="B26" authorId="0" shapeId="0">
      <text>
        <r>
          <rPr>
            <sz val="8"/>
            <color indexed="81"/>
            <rFont val="Tahoma"/>
            <family val="2"/>
          </rPr>
          <t>The sample mean of the errors is always zero if the model includes
a constant term.  It may be nonzero, reflecting positive or negative
bias in the predictions, if a constant is not included.</t>
        </r>
      </text>
    </comment>
    <comment ref="C26" authorId="0" shapeId="0">
      <text>
        <r>
          <rPr>
            <sz val="8"/>
            <color indexed="81"/>
            <rFont val="Tahoma"/>
            <family val="2"/>
          </rPr>
          <t>Root-Mean-Squared-Error is the square root of the average of the squared
errors, which is same as the population standard deviation of the errors
if the model includes a constant.  It is always slightly smaller than
the standard error of the regression, because it does not include an
adjustment for the number of parameters used to fit the data.</t>
        </r>
      </text>
    </comment>
    <comment ref="D26" authorId="0" shapeId="0">
      <text>
        <r>
          <rPr>
            <sz val="8"/>
            <color indexed="81"/>
            <rFont val="Tahoma"/>
            <family val="2"/>
          </rPr>
          <t>Mean Absolute Error is the average of the absolute values of the errors,
which is another measure of the size of a typical error.  It is less
sensitive than RMSE to the presence of extreme values and hence may
have more practical significance when the error distribution has long
tails.   MAE is typically smaller than RMSE, about 20% less on average
for errors that are normally distributed, so these two statistics cannot
be compared to each other.</t>
        </r>
      </text>
    </comment>
    <comment ref="G26" authorId="0" shapeId="0">
      <text>
        <r>
          <rPr>
            <sz val="8"/>
            <color indexed="81"/>
            <rFont val="Tahoma"/>
            <family val="2"/>
          </rPr>
          <t>Mean Absolute Percentage Error is the average of the absolute values
of the errors expressed in percentage terms.   It is defined only in
the case where the dependent variable is strictly positive.</t>
        </r>
      </text>
    </comment>
    <comment ref="H26" authorId="0" shapeId="0">
      <text>
        <r>
          <rPr>
            <sz val="8"/>
            <color indexed="81"/>
            <rFont val="Tahoma"/>
            <family val="2"/>
          </rPr>
          <t>The adjusted Anderson-Darling (A-D*) statistic provides a test of the
assumption that the errors of the model are normally distributed, which
is the basis of formulas for calculating P-values and confidence intervals.
 It is a weighted measure of the difference between the actual and
theoretical cumulative distribution functions, with relatively more
weight placed on the tails of the distribution, and it works well for
small sample sizes.  The Jarque-Bera statistic is better for large
samples for computational efficiency.  Here the A-D* stat is used for
sample sizes less than 2000 and the Jarque-Bera stat otherwise.
The cell below shows the approximate P-value for judging the significance
of non-normality of the errors, as determined from the A-D* stat. 
  If non-normality is very significant, i.e., if the P-value is very
small (see the attached cell comment for details), it is advisable
to study the other residual stats and plots to determine whether the
problem is systematic (possibly indicating the need for a nonlinear
transformation of the dependent variable, or the inclusion of a higher-order
term as a predictor, or partitioning of the sample), or whether it
is due to the influence of a small number of extreme errors, or whether
it is an artifact of a large sample.  If the sample is very large,
a violation of normality that is small in practical terms could be
flagged as `statistically` significant.
If no other flaws in the model are apparent, then the unexplainable
variations in the data just may not be normally distributed.  That
can happen if the situation is one in which the assumptions of the
Central Limit Theorem (many independent additive sources of noise)
do not apply to the errors.  The normal-error-distribution property
is not an absolute requirement for a useful regression model, particularly
if only point estimates are needed.  Its most important roles are in
placing well-calibrated confidence intervals around forecasts and in
hypothesis testing with very small samples.
The A-D* stat is not the bottom line, just one of many indicators of
problems with model assumptions, and it should not be used as a basis
for ranking of models. Normality is much less important than the other
assumptions of regression analysis (relevance of the independent variables,
linearity and additivity of their effects, independence and constant
variance of the errors).   If it is violated, you should look for evidence
of more serious problems.</t>
        </r>
      </text>
    </comment>
    <comment ref="H27" authorId="0" shapeId="0">
      <text>
        <r>
          <rPr>
            <sz val="8"/>
            <color indexed="81"/>
            <rFont val="Tahoma"/>
            <family val="2"/>
          </rPr>
          <t>Adjusted Anderson-Darling statistic = 0.39 (P=0.374)
The critical value is 0.752 [1.035, 1.443] for non-normality
that is significant at the 0.05 [0.01, 0.001] level.
Jarque-Bera statistic = 2.03 (P=0.363)
The critical value is 5.991 [9.210, 13.816] for non-normality
that is significant at the 0.05 [0.01, 0.001] level,
 based on a Chi-square distribution with 2 degrees of freedom.</t>
        </r>
      </text>
    </comment>
    <comment ref="A30" authorId="0" shapeId="0">
      <text>
        <r>
          <rPr>
            <sz val="8"/>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31" authorId="0" shapeId="0">
      <text>
        <r>
          <rPr>
            <sz val="8"/>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60" authorId="0" shapeId="0">
      <text>
        <r>
          <rPr>
            <sz val="8"/>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61" authorId="0" shapeId="0">
      <text>
        <r>
          <rPr>
            <sz val="8"/>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82" authorId="0" shapeId="0">
      <text>
        <r>
          <rPr>
            <sz val="8"/>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83" authorId="0" shapeId="0">
      <text>
        <r>
          <rPr>
            <sz val="8"/>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104" authorId="0" shapeId="0">
      <text>
        <r>
          <rPr>
            <sz val="8"/>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05" authorId="0" shapeId="0">
      <text>
        <r>
          <rPr>
            <sz val="8"/>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26" authorId="0" shapeId="0">
      <text>
        <r>
          <rPr>
            <sz val="8"/>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27" authorId="0" shapeId="0">
      <text>
        <r>
          <rPr>
            <sz val="8"/>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48" authorId="0" shapeId="0">
      <text>
        <r>
          <rPr>
            <sz val="8"/>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 ref="A149" authorId="0" shapeId="0">
      <text>
        <r>
          <rPr>
            <sz val="8"/>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List>
</comments>
</file>

<file path=xl/comments4.xml><?xml version="1.0" encoding="utf-8"?>
<comments xmlns="http://schemas.openxmlformats.org/spreadsheetml/2006/main">
  <authors>
    <author>Bob Nau</author>
  </authors>
  <commentList>
    <comment ref="A1" authorId="0" shapeId="0">
      <text>
        <r>
          <rPr>
            <sz val="8"/>
            <color indexed="81"/>
            <rFont val="Tahoma"/>
            <family val="2"/>
          </rPr>
          <t>In a linear regression model the predicted value of the dependent variable
is assumed to be a linear, additive function of the independent variables,
i.e., a constant plus the sum of the independent variables respectively
multiplied by other constants, which are called their coefficients.
These are strong assumptions.  They imply that the predicted change
in the dependent variable is a straight-line function of the change
in any independent variable, holding the other variables fixed at any
values of their own, and the slope of this line does not depend on
the other variables, and the predicted change in the dependent variable
due to simultaneous changes in two or more independent variables is
the sum of the changes that would be predicted due to each one separately.
Furthermore, the unexplained variations in the data are usually assumed
to be independently and identically normally distributed for all values
of the independent variables.   In other words, if the true coefficient
values were exactly known, the error in every prediction (big or small)
would be be drawn from the same normal distribution, and the errors
in any two predictions would be statistically independent.
In some settings these strong assumptions can be justified on the basis
of established theory and practice or on physical and economic reasoning
or on the design of an experiment, but in many situations, especially
those in which model selection is one of the goals, their validity
must be confirmed through exploratory data analysis and careful examination
of diagnostic statistics and charts that are available in the regression
model output.  Violations that are detected may point you in the direction
of a better model.
To see the model equation written out, unhide the rows at the top of
this worksheet.</t>
        </r>
      </text>
    </comment>
    <comment ref="B1" authorId="0" shapeId="0">
      <text>
        <r>
          <rPr>
            <sz val="8"/>
            <color indexed="81"/>
            <rFont val="Tahoma"/>
            <family val="2"/>
          </rPr>
          <t>Model 4.0 (#vars=3, no constant, n=245, AdjRsq=0.988)
Dependent variable = Y 
Run time = 2/15/2018 1:39:15 PM
File name = RegressItPCtest4.xlsx
Computer name = FACDS2140
Program file name = RegressItPC
Version number = 2018.02.15
Execution time = 00h:00m:03s</t>
        </r>
      </text>
    </comment>
    <comment ref="B9" authorId="0" shapeId="0">
      <text>
        <r>
          <rPr>
            <sz val="8"/>
            <color indexed="81"/>
            <rFont val="Tahoma"/>
            <family val="2"/>
          </rPr>
          <t>R-squared is the fraction by which the sample variance of the model's
errors is less than the sample variance of the dependent variable,
i.e., it is the fractional reduction in error variance compared to
what would be obtained with a constant-only model. Equivalently, it
is equal to 1 minus the square of {the sample standard deviation of
the errors divided by the sample standard deviation of the dependent
variable}.
There is no absolute standard for an acceptable value of this statistic.
 That depends on the nature of the data, the variance-changing transformations
(if any) that have already been applied to the dependent variable,
the decision or inference context in which the model is to be used,
and the reasonableness of  the model's assumptions in that context.
If the setting is one in which the model equation is given (as in a
designed experiment) and interest centers on whether the effects of
independent variables are non-zero rather than on their predictive
accuracy in individual cases, then a low value of R-squared may not
be a cause for concern.  The F-statistic may be relatively more important
in that case.
If the setting is one in which the variables are time series and there
is a very strong and visually obvious time pattern in the dependent
variable (e.g., a trend or random-walk or seasonal pattern), then you
should expect to be able to achieve a very high value of R-squared.
 A better measure of the model's usefulness in that case is to compare
its error statistics against those of a naive time series model.  The
mean absolute scaled error (MASE) statistic provides such a test.</t>
        </r>
      </text>
    </comment>
    <comment ref="C9" authorId="0" shapeId="0">
      <text>
        <r>
          <rPr>
            <sz val="8"/>
            <color indexed="81"/>
            <rFont val="Tahoma"/>
            <family val="2"/>
          </rPr>
          <t>Adjusted R-squared is an unbiased estimate of the fractional reduction
in error variance that the regression model achieves relative to a
constant-only model.  It is equal to 1 minus the square of {the standard
error of the regression divided by the sample standard deviation of
the dependent variable}.</t>
        </r>
      </text>
    </comment>
    <comment ref="D9" authorId="0" shapeId="0">
      <text>
        <r>
          <rPr>
            <sz val="8"/>
            <color indexed="81"/>
            <rFont val="Tahoma"/>
            <family val="2"/>
          </rPr>
          <t>The standard error of the regression is the estimated standard deviation
of the errors that the model would make if the values of its coefficients
were exactly known, assuming that the model is correct.
It is equal to the sample standard deviation of the errors multiplied
by a degree-of-freedom adjustment factor which is the square root of
(n-1)/(n-k-1), where n is the sample size and k is the number of independent
variables. Equivalently, it is the square root of the residual mean
square in the ANOVA table, as in the cell formula used here.
The standard error of the regression can also be expressed as the standard
deviation of the dependent variable multiplied by the square root of
1 minus adjusted R-squared. Thus, for models fitted to the same sample
of the same dependent variable, the standard error of the regression
goes down as adjusted R-squared goes up and vice versa.
The standard error of the regression is a lower bound on the standard
error of any forecast from the model. In that sense it can be viewed
as the model's bottom line in real terms for purposes of forecasting.
Note that it is measured in the same units as the dependent variable,
so its value also depends on how that variable is scaled.</t>
        </r>
      </text>
    </comment>
    <comment ref="E9" authorId="0" shapeId="0">
      <text>
        <r>
          <rPr>
            <sz val="8"/>
            <color indexed="81"/>
            <rFont val="Tahoma"/>
            <family val="2"/>
          </rPr>
          <t>The root-mean-square of the dependent variable, rather than its standard
deviation, is the relevant measure of dispersion that is to be explained
by a model with no constant.  Adjusted R-squared in such a model is
defined here to be one minus the square of {standard-error-of-the-regression
divided by root-mean-square of the dependent variable}.</t>
        </r>
      </text>
    </comment>
    <comment ref="F9" authorId="0" shapeId="0">
      <text>
        <r>
          <rPr>
            <sz val="8"/>
            <color indexed="81"/>
            <rFont val="Tahoma"/>
            <family val="2"/>
          </rPr>
          <t>The number of fitted values is the number of rows in the sample for
which values of the dependent variable and all the independent variables
are available.   If it is less than the number of data rows in the
file and/or it varies among models, then some variables in the model
have missing values (blanks or text in some cells).  In such cases
you should make sure that you understand the reasons for the missing
values and be cautious in comparing models whose samples are not the
same.  You may want to avoid using predictors whose sample sizes are
much less than those of other variables.  Note that time transformations
such as lags and differences will reduce the sample size by the number
of lags they use.  In some situations where samples differ among models
that are being compared, you may want to make a second copy of the
dependent variable and delete its values in rows where independent
variables in any of the models have missing values.</t>
        </r>
      </text>
    </comment>
    <comment ref="G9" authorId="0" shapeId="0">
      <text>
        <r>
          <rPr>
            <sz val="8"/>
            <color indexed="81"/>
            <rFont val="Tahoma"/>
            <family val="2"/>
          </rPr>
          <t>The number of missing values is the number of rows in which any of
the variables included in the model are missing or have non-numeric
values.</t>
        </r>
      </text>
    </comment>
    <comment ref="H9" authorId="0" shapeId="0">
      <text>
        <r>
          <rPr>
            <sz val="8"/>
            <color indexed="81"/>
            <rFont val="Tahoma"/>
            <family val="2"/>
          </rPr>
          <t>The critical t-value is the number of standard errors to be added to
and subtracted from estimated model coefficients and forecasts in order
to compute the corresponding upper and lower confidence limits.   The
formulas for these calculations are contained in the confidence limit
cells on this worksheet.  The critical t-value is determined by the
chosen confidence level and the model's number of degrees of freedom
for error (number of fitted values minus number of parameters, including
the constant), using Excel's TINV (t-inverse) function.  It is approximately
equal to 2 for a 95% confidence interval unless the number of degrees
of freedom is very small.</t>
        </r>
      </text>
    </comment>
    <comment ref="I9" authorId="0" shapeId="0">
      <text>
        <r>
          <rPr>
            <sz val="8"/>
            <color indexed="81"/>
            <rFont val="Tahoma"/>
            <family val="2"/>
          </rPr>
          <t>The confidence level in the cell below is linked to confidence interval
formulas on the worksheet and is adjustable.  You can enter a new value
or use the Conf+ and Conf-  buttons on the RegressIt ribbon to change
it.</t>
        </r>
      </text>
    </comment>
    <comment ref="A14" authorId="0" shapeId="0">
      <text>
        <r>
          <rPr>
            <sz val="8"/>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A15" authorId="0" shapeId="0">
      <text>
        <r>
          <rPr>
            <sz val="8"/>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B15" authorId="0" shapeId="0">
      <text>
        <r>
          <rPr>
            <sz val="8"/>
            <color indexed="81"/>
            <rFont val="Tahoma"/>
            <family val="2"/>
          </rPr>
          <t>The coefficient of an independent variable is the change in the predicted
value of the dependent variable per unit of change in that variable,
holding the other variables fixed at any values of their own.  In a
multiple regression model its value depends to some extent on which
other variables are included (i.e., on which other things are held
to be equal as it is hypothetically varied), and its magnitude or even
its sign may change if other variables with which it is correlated
are added or removed.
The coefficient is measured in units of the dependent variable divided
by units of the independent variable, so its value depends on how the
variables are scaled as well as on the estimated strength of their
statistical relationships.
If the coefficient of an important variable is huge or tiny relative
to the number of digits visible in the cell in all of your models,
then for easier reading of the results you may wish to consider changing
its units by rescaling it by several powers of 10 before doing your
analysis.</t>
        </r>
      </text>
    </comment>
    <comment ref="C15" authorId="0" shapeId="0">
      <text>
        <r>
          <rPr>
            <sz val="8"/>
            <color indexed="81"/>
            <rFont val="Tahoma"/>
            <family val="2"/>
          </rPr>
          <t>The standard error of a coefficient is the (estimated) standard deviation
of the error that has been made in estimating it from the given sample
of data in the context of the given model.
In general it gets smaller in proportion to 1 divided by the square
root of the sample size as the sample size increases.  Thus, 4 times
as much data should be expected to reduce the standard errors of all
the coefficient estimates by a factor of 2 (approximately), assuming
that the additional data is described by the same model.</t>
        </r>
      </text>
    </comment>
    <comment ref="D15" authorId="0" shapeId="0">
      <text>
        <r>
          <rPr>
            <sz val="8"/>
            <color indexed="81"/>
            <rFont val="Tahoma"/>
            <family val="2"/>
          </rPr>
          <t xml:space="preserve">The t-statistic of an independent variable is its estimated coefficient
divided by the coefficient's own standard error, i.e., its number of
standard errors away from zero.  The t-stat's value (which has the
same sign as the coefficient) is an indicator of whether that variable
has been found to have a measurably non-zero effect in explaining or
predicting variations in the dependent variable, in the context of
other variables included in the same model.
The t-statistic associated with any one variable is model-dependent.
 Its value may change, sometimes significantly, if other related variables
are added or removed.  Also, the t-stat of a variable whose true coefficient
is non-zero tends to grow larger in magnitude as the sample size increases,
because standard errors of coefficients grow smaller as the sample
size increases.
A commonly used rule of thumb is that a variable's contribution to
a model is not statistically significant if its t-stat is less than
2 in absolute value, i.e., if its estimated value is less than 2 standard
errors away from zero, which is the approximate standard for significance
at the 0.05 level. This is not a hard-and-fast rule, but as a practical
matter the removal of a variable whose t-stat is much less than 2 in
magnitude will probably not increase the standard error of the regression
by very much.
Whether a variable should be removed also depends on other considerations,
such as the objectives of the analysis and whether there are other
supporting arguments for its use in the presence of the other variables.
  If the model specification is a priori unknown and the data have
been collected in an ad hoc fashion, simpler is generally better. </t>
        </r>
      </text>
    </comment>
    <comment ref="E15" authorId="0" shapeId="0">
      <text>
        <r>
          <rPr>
            <sz val="8"/>
            <color indexed="81"/>
            <rFont val="Tahoma"/>
            <family val="2"/>
          </rPr>
          <t>The P-value of a coefficient is determined from its t-stat.   It is
the probability of obtaining a t-stat that large or larger in magnitude
if the true coefficient of that variable is zero and the model assumptions
are otherwise correct.  Under those assumptions, the distribution of
the t-statistic is a Student's t distribution, which is almost the
same as a standard normal distribution unless the sample size is very
small.  P-values are computed from t-stats using Excel's TDIST function,
as seen in the cell formulas below.
A common rule of thumb is that a variable's contribution is not statistically
significant if its coefficient's P-value is greater than 0.05, which
indicates that there is a 1-in-20 or greater probability of obtaining
a value that large in magnitude by pure chance if the true coefficient
of that variable is zero and the rest of the model specification is
correct.  This is essentially the same standard of insignificance as
having a t-stat less than 2 in magnitude.
It is not required to keep a variable whose P-value is less than 0.05
or remove one whose P-value is greater than 0.05, although you should
generally avoid including marginally significant variables without
other supporting logic or design considerations.  Sometimes a group
of variables forms a logical unit that should not be broken up.  For
example, they might be dummy variables that are used to identify mutually
exclusive treatments in a designed experiment, or they might be seasons
of the year in a time series forecasting model.  In such cases you
generally do not pick and choose among them individually on the basis
of their P-values and t-stats.</t>
        </r>
      </text>
    </comment>
    <comment ref="F15" authorId="0" shapeId="0">
      <text>
        <r>
          <rPr>
            <sz val="8"/>
            <color indexed="81"/>
            <rFont val="Tahoma"/>
            <family val="2"/>
          </rPr>
          <t>Lower and upper confidence limits for a coefficient estimate are obtained
by adding or subtracting the appropriate number of standard errors
for that confidence level. They can be roughly interpreted as intervals
within which there is a given probability that the true value lies
if the model's assumptions are all correct and there is no a priori
information about its coefficient values.*
95% confidence limits, which are commonly reported by default, are
roughly equal to the coefficient estimate plus or minus 2 standard
errors.  The 95% level has no cosmic significance other than that it
is based (approximately) on a nice round number of standard errors
and a 19-out-of-20 chance is an easy-to-understand benchmark of quite-likely-but-not-certain.
 You may sometimes wish to present intervals for other confidence levels
depending on the decision context.  For example, a 50% confidence interval
(a coin flip) is plus-or-minus two-thirds of a standard error.
The exact number of standard errors to use for a given confidence level
is computed by the formula in cell H10 on this worksheet, which uses
Excel's TINV (t-inverse) function.  This formula contains a cell reference
to the confidence level entered in cell I10, which can be changed interactively
after fitting the model by using the Conf+ and Conf- buttons on the
RegressIt toolbar.  Try this and watch how all the numbers change.
There is a logical connection between confidence intervals and P-values
as indicators of significantly-different-from-zero: a P-value is less
than x if and only if the corresponding 100(1-x)% confidence interval
does not include zero.  In particular, P&lt;0.05 if and only if the 95%
confidence interval does not include zero.
*Technically speaking, an x% confidence interval is an interval calculated
by a mathematical formula which has the property that, over the long
run, when applied to models whose assumptions are correct, it will
cover the true value x% of the time.  This is not quite the same thing
as saying that it has an x% chance of covering the true value in your
particular case, particularly if the correctness of your model is not
established.</t>
        </r>
      </text>
    </comment>
    <comment ref="H15" authorId="0" shapeId="0">
      <text>
        <r>
          <rPr>
            <sz val="8"/>
            <color indexed="81"/>
            <rFont val="Tahoma"/>
            <family val="2"/>
          </rPr>
          <t>The variance inflation factor (VIF) of an independent variable is a
measure of its multicollinearity with the other variables, i.e., its
redundance with them in the context of a linear equation. In particular,
the VIF of an independent variable is equal to 1 divided by 1-minus-R-squared
in a regression of itself on the others. If there is only 1 variable,
its VIF is 1 by definition.  VIF's are not computed for models with
no constant.
A commonly used standard of technically-significant multicollinearity
is a VIF is greater than 10, which corresponds to an R-squared of 90%
in regressing that independent variable on the others.
The VIF's do not depend on the correlations between the independent
variables and the dependent variable, though, so a large VIF is not
necessarily proof that a given variable adds no useful information
for purposes of prediction.
The correlation matrix of coefficient estimates provides another indicator
of whether one independent variable may be redundant with others in
the context of the given model, and it also indicates which other variables
are the likely suspects.</t>
        </r>
      </text>
    </comment>
    <comment ref="I15" authorId="0" shapeId="0">
      <text>
        <r>
          <rPr>
            <sz val="8"/>
            <color indexed="81"/>
            <rFont val="Tahoma"/>
            <family val="2"/>
          </rPr>
          <t>The standardized coefficient of an independent variable (also called
a beta coefficient) is the value that its coefficient would have if
all the variables were standardized, i.e., converted to units of standard
deviations from their respective means, then fitted by a model without
a constant.  Thus, it is the predicted number of standard deviations
of change in the dependent variable per standard deviation of change
in the independent variable, other things being equal.
The standardized coefficient can be computed from the unstandardized
one by multiplying it by that variable's standard deviation and then
dividing by the standard deviation of the dependent variable, as shown
in the formulas in the cells below.  The standard deviation of the
independent variable is embedded in this formula as a number.  The
standardized value of the constant is zero by definition, and standardized
coefficients are not computed for models with no constant.
The standardized coefficient is a unit-free indicator of the sign and
magnitude of the predictive effect of an independent variable.  In
a simple (1-variable) regression model the standardized coefficient
of an independent variable is simply its correlation with the dependent
variable, which is a number between -1 and +1.  In a multiple regression
model the standardized coefficients also generally fall in this range,
with values closer to -1 or +1 indicating more importance.  Values
outside this range could be indicators of multicollinearity.
Variables whose standardized coefficients are largest in magnitude
are not necessarily those whose t-stats are the largest in magnitude.
 A standardized coefficient measures the relative predictive value
of the variable in real terms, while a t-stat measures whether its
predictive value has merely been determined to be something other than
zero.  Also, unlike t-stats, standardized coefficients of correctly
included variables do not systematically get larger in magnitude as
the sample size increases.  Rather, their estimates just become more
accurate.</t>
        </r>
      </text>
    </comment>
    <comment ref="A21" authorId="0" shapeId="0">
      <text>
        <r>
          <rPr>
            <sz val="8"/>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A22" authorId="0" shapeId="0">
      <text>
        <r>
          <rPr>
            <sz val="8"/>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E22" authorId="0" shapeId="0">
      <text>
        <r>
          <rPr>
            <sz val="8"/>
            <color indexed="81"/>
            <rFont val="Tahoma"/>
            <family val="2"/>
          </rPr>
          <t>Each of the sums of squares in the ANOVA table is divided by its associated
number of degrees of freedom in order to obtain a corresponding mean
square.  For the regression sum of squares the number of degrees of
freedom is the number of independent variables, and for the residual
sum of squares the number of degrees of freedom is the sample size
minus the total number of model parameters, including the constant.
 The ratio of their mean squares is the F statistic.  In other words,
the F-statistic is the explained-variance-per-degree-of-freedom-used
divided by the unexplained-variance-per-degree-of-freedom-not-used.
Ideally the F-statistic is significantly larger than 1, indicating
that the independent variables explain more than their share of the
variance of the independent variable, i.e., more than would have been
expected by chance.    The corresponding P-value indicates the statistical
significance of the amount by which the F-statistic is greater than
1, taking into account the sample size and number of variables.   In
a simple regression model the F-statistic is merely the square of the
t-statistic of the single independent variable, and their P-values
are the same.
The F-statistic is of particular interest in designed experiments where
the independent variables are dummies for mutually exclusive treatment
conditions and interactions and the question is whether they have a
non-zero overall effect.  In such settings the F-statistic may be much
more important than R-squared or the standard error of the regression
or the statistical significance of individual coefficients.</t>
        </r>
      </text>
    </comment>
    <comment ref="B28" authorId="0" shapeId="0">
      <text>
        <r>
          <rPr>
            <sz val="8"/>
            <color indexed="81"/>
            <rFont val="Tahoma"/>
            <family val="2"/>
          </rPr>
          <t>The sample mean of the errors is always zero if the model includes
a constant term.  It may be nonzero, reflecting positive or negative
bias in the predictions, if a constant is not included.</t>
        </r>
      </text>
    </comment>
    <comment ref="C28" authorId="0" shapeId="0">
      <text>
        <r>
          <rPr>
            <sz val="8"/>
            <color indexed="81"/>
            <rFont val="Tahoma"/>
            <family val="2"/>
          </rPr>
          <t>Root-Mean-Squared-Error is the square root of the average of the squared
errors, which is same as the population standard deviation of the errors
if the model includes a constant.  It is always slightly smaller than
the standard error of the regression, because it does not include an
adjustment for the number of parameters used to fit the data.</t>
        </r>
      </text>
    </comment>
    <comment ref="D28" authorId="0" shapeId="0">
      <text>
        <r>
          <rPr>
            <sz val="8"/>
            <color indexed="81"/>
            <rFont val="Tahoma"/>
            <family val="2"/>
          </rPr>
          <t>Mean Absolute Error is the average of the absolute values of the errors,
which is another measure of the size of a typical error.  It is less
sensitive than RMSE to the presence of extreme values and hence may
have more practical significance when the error distribution has long
tails.   MAE is typically smaller than RMSE, about 20% less on average
for errors that are normally distributed, so these two statistics cannot
be compared to each other.</t>
        </r>
      </text>
    </comment>
    <comment ref="G28" authorId="0" shapeId="0">
      <text>
        <r>
          <rPr>
            <sz val="8"/>
            <color indexed="81"/>
            <rFont val="Tahoma"/>
            <family val="2"/>
          </rPr>
          <t>Mean Absolute Percentage Error is the average of the absolute values
of the errors expressed in percentage terms.   It is defined only in
the case where the dependent variable is strictly positive.</t>
        </r>
      </text>
    </comment>
    <comment ref="H28" authorId="0" shapeId="0">
      <text>
        <r>
          <rPr>
            <sz val="8"/>
            <color indexed="81"/>
            <rFont val="Tahoma"/>
            <family val="2"/>
          </rPr>
          <t>The adjusted Anderson-Darling (A-D*) statistic provides a test of the
assumption that the errors of the model are normally distributed, which
is the basis of formulas for calculating P-values and confidence intervals.
 It is a weighted measure of the difference between the actual and
theoretical cumulative distribution functions, with relatively more
weight placed on the tails of the distribution, and it works well for
small sample sizes.  The Jarque-Bera statistic is better for large
samples for computational efficiency.  Here the A-D* stat is used for
sample sizes less than 2000 and the Jarque-Bera stat otherwise.
The cell below shows the approximate P-value for judging the significance
of non-normality of the errors, as determined from the A-D* stat. 
  If non-normality is very significant, i.e., if the P-value is very
small (see the attached cell comment for details), it is advisable
to study the other residual stats and plots to determine whether the
problem is systematic (possibly indicating the need for a nonlinear
transformation of the dependent variable, or the inclusion of a higher-order
term as a predictor, or partitioning of the sample), or whether it
is due to the influence of a small number of extreme errors, or whether
it is an artifact of a large sample.  If the sample is very large,
a violation of normality that is small in practical terms could be
flagged as `statistically` significant.
If no other flaws in the model are apparent, then the unexplainable
variations in the data just may not be normally distributed.  That
can happen if the situation is one in which the assumptions of the
Central Limit Theorem (many independent additive sources of noise)
do not apply to the errors.  The normal-error-distribution property
is not an absolute requirement for a useful regression model, particularly
if only point estimates are needed.  Its most important roles are in
placing well-calibrated confidence intervals around forecasts and in
hypothesis testing with very small samples.
The A-D* stat is not the bottom line, just one of many indicators of
problems with model assumptions, and it should not be used as a basis
for ranking of models. Normality is much less important than the other
assumptions of regression analysis (relevance of the independent variables,
linearity and additivity of their effects, independence and constant
variance of the errors).   If it is violated, you should look for evidence
of more serious problems.</t>
        </r>
      </text>
    </comment>
    <comment ref="H29" authorId="0" shapeId="0">
      <text>
        <r>
          <rPr>
            <sz val="8"/>
            <color indexed="81"/>
            <rFont val="Tahoma"/>
            <family val="2"/>
          </rPr>
          <t>Adjusted Anderson-Darling statistic = 0.70 (P=0.067)
The critical value is 0.752 [1.035, 1.443] for non-normality
that is significant at the 0.05 [0.01, 0.001] level.
Jarque-Bera statistic = 9.59 (P=0.008)
The critical value is 5.991 [9.210, 13.816] for non-normality
that is significant at the 0.05 [0.01, 0.001] level,
 based on a Chi-square distribution with 2 degrees of freedom.</t>
        </r>
      </text>
    </comment>
    <comment ref="A32" authorId="0" shapeId="0">
      <text>
        <r>
          <rPr>
            <sz val="8"/>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33" authorId="0" shapeId="0">
      <text>
        <r>
          <rPr>
            <sz val="8"/>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62" authorId="0" shapeId="0">
      <text>
        <r>
          <rPr>
            <sz val="8"/>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63" authorId="0" shapeId="0">
      <text>
        <r>
          <rPr>
            <sz val="8"/>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84" authorId="0" shapeId="0">
      <text>
        <r>
          <rPr>
            <sz val="8"/>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85" authorId="0" shapeId="0">
      <text>
        <r>
          <rPr>
            <sz val="8"/>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106" authorId="0" shapeId="0">
      <text>
        <r>
          <rPr>
            <sz val="8"/>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07" authorId="0" shapeId="0">
      <text>
        <r>
          <rPr>
            <sz val="8"/>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28" authorId="0" shapeId="0">
      <text>
        <r>
          <rPr>
            <sz val="8"/>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29" authorId="0" shapeId="0">
      <text>
        <r>
          <rPr>
            <sz val="8"/>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50" authorId="0" shapeId="0">
      <text>
        <r>
          <rPr>
            <sz val="8"/>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 ref="A151" authorId="0" shapeId="0">
      <text>
        <r>
          <rPr>
            <sz val="8"/>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List>
</comments>
</file>

<file path=xl/comments5.xml><?xml version="1.0" encoding="utf-8"?>
<comments xmlns="http://schemas.openxmlformats.org/spreadsheetml/2006/main">
  <authors>
    <author>Bob Nau</author>
  </authors>
  <commentList>
    <comment ref="B4" authorId="0" shapeId="0">
      <text>
        <r>
          <rPr>
            <sz val="8"/>
            <color indexed="81"/>
            <rFont val="Tahoma"/>
            <family val="2"/>
          </rPr>
          <t>Model 1.0 (#vars=4, n=245, AdjRsq=0.668)
Dependent variable = Y 
Run time = 2/15/2018 1:36:34 PM
File name = RegressItPCtest1.xlsx
Computer name = FACDS2140
Program file name = RegressItPC
Version number = 2018.02.15
Execution time = 00h:00m:01s</t>
        </r>
      </text>
    </comment>
    <comment ref="C4" authorId="0" shapeId="0">
      <text>
        <r>
          <rPr>
            <sz val="8"/>
            <color indexed="81"/>
            <rFont val="Tahoma"/>
            <family val="2"/>
          </rPr>
          <t>Model 2.0 (#vars=1, n=245, AdjRsq=0.493)
Dependent variable = Y 
Run time = 2/15/2018 1:37:20 PM
File name = RegressItPCtest2.xlsx
Computer name = FACDS2140
Program file name = RegressItPC
Version number = 2018.02.15
Execution time = 00h:00m:01s</t>
        </r>
      </text>
    </comment>
    <comment ref="D4" authorId="0" shapeId="0">
      <text>
        <r>
          <rPr>
            <sz val="8"/>
            <color indexed="81"/>
            <rFont val="Tahoma"/>
            <family val="2"/>
          </rPr>
          <t>Model 3.0 (#vars=3, n=245, AdjRsq=0.662)
Dependent variable = Y 
Run time = 2/15/2018 1:38:33 PM
File name = RegressItPCtest3.xlsx
Computer name = FACDS2140
Program file name = RegressItPC
Version number = 2018.02.15
Execution time = 00h:00m:02s</t>
        </r>
      </text>
    </comment>
    <comment ref="E4" authorId="0" shapeId="0">
      <text>
        <r>
          <rPr>
            <sz val="8"/>
            <color indexed="81"/>
            <rFont val="Tahoma"/>
            <family val="2"/>
          </rPr>
          <t>Model 4.0 (#vars=3, no constant, n=245, AdjRsq=0.988)
Dependent variable = Y 
Run time = 2/15/2018 1:39:15 PM
File name = RegressItPCtest4.xlsx
Computer name = FACDS2140
Program file name = RegressItPC
Version number = 2018.02.15
Execution time = 00h:00m:03s</t>
        </r>
      </text>
    </comment>
    <comment ref="A8" authorId="0" shapeId="0">
      <text>
        <r>
          <rPr>
            <sz val="8"/>
            <color indexed="81"/>
            <rFont val="Tahoma"/>
            <family val="2"/>
          </rPr>
          <t>You can make a chart of the standard error of the regression and/or R-squared versus the number of variables by selecting a 3-row range beginning in this cell and choosing Insert/Scatterchart from the Excel menu.</t>
        </r>
      </text>
    </comment>
    <comment ref="B15" authorId="0" shapeId="0">
      <text>
        <r>
          <rPr>
            <sz val="8"/>
            <color indexed="81"/>
            <rFont val="Tahoma"/>
            <family val="2"/>
          </rPr>
          <t>Adjusted Anderson-Darling statistic = 0.39 (P=0.384)
The critical value is 0.752 [1.035, 1.443] for non-normality
that is significant at the 0.05 [0.01, 0.001] level.
Jarque-Bera statistic = 2.87 (P=0.238)
The critical value is 5.991 [9.210, 13.816] for non-normality
that is significant at the 0.05 [0.01, 0.001] level,
 based on a Chi-square distribution with 2 degrees of freedom.</t>
        </r>
      </text>
    </comment>
    <comment ref="C15" authorId="0" shapeId="0">
      <text>
        <r>
          <rPr>
            <sz val="8"/>
            <color indexed="81"/>
            <rFont val="Tahoma"/>
            <family val="2"/>
          </rPr>
          <t>Adjusted Anderson-Darling statistic = 4.23 (P=0.000)
The critical value is 0.752 [1.035, 1.443] for non-normality
that is significant at the 0.05 [0.01, 0.001] level.
Jarque-Bera statistic = 263.28 (P=0.000)
The critical value is 5.991 [9.210, 13.816] for non-normality
that is significant at the 0.05 [0.01, 0.001] level,
 based on a Chi-square distribution with 2 degrees of freedom.</t>
        </r>
      </text>
    </comment>
    <comment ref="D15" authorId="0" shapeId="0">
      <text>
        <r>
          <rPr>
            <sz val="8"/>
            <color indexed="81"/>
            <rFont val="Tahoma"/>
            <family val="2"/>
          </rPr>
          <t>Adjusted Anderson-Darling statistic = 0.39 (P=0.374)
The critical value is 0.752 [1.035, 1.443] for non-normality
that is significant at the 0.05 [0.01, 0.001] level.
Jarque-Bera statistic = 2.03 (P=0.363)
The critical value is 5.991 [9.210, 13.816] for non-normality
that is significant at the 0.05 [0.01, 0.001] level,
 based on a Chi-square distribution with 2 degrees of freedom.</t>
        </r>
      </text>
    </comment>
    <comment ref="E15" authorId="0" shapeId="0">
      <text>
        <r>
          <rPr>
            <sz val="8"/>
            <color indexed="81"/>
            <rFont val="Tahoma"/>
            <family val="2"/>
          </rPr>
          <t>Adjusted Anderson-Darling statistic = 0.70 (P=0.067)
The critical value is 0.752 [1.035, 1.443] for non-normality
that is significant at the 0.05 [0.01, 0.001] level.
Jarque-Bera statistic = 9.59 (P=0.008)
The critical value is 5.991 [9.210, 13.816] for non-normality
that is significant at the 0.05 [0.01, 0.001] level,
 based on a Chi-square distribution with 2 degrees of freedom.</t>
        </r>
      </text>
    </comment>
    <comment ref="B20" authorId="0" shapeId="0">
      <text>
        <r>
          <rPr>
            <sz val="8"/>
            <color indexed="81"/>
            <rFont val="Tahoma"/>
            <family val="2"/>
          </rPr>
          <t>Model = Model 1.0
Variable =  Constant
Coeff = 99.755
StdErr = 3.16164
t-stat = 31.552
P-value = 0
VIF = 0
StdCoeff = 0</t>
        </r>
      </text>
    </comment>
    <comment ref="C20" authorId="0" shapeId="0">
      <text>
        <r>
          <rPr>
            <sz val="8"/>
            <color indexed="81"/>
            <rFont val="Tahoma"/>
            <family val="2"/>
          </rPr>
          <t>Model = Model 2.0
Variable =  Constant
Coeff = 129.438
StdErr = 2.17711
t-stat = 59.454
P-value = 0
VIF = 0
StdCoeff = 0</t>
        </r>
      </text>
    </comment>
    <comment ref="D20" authorId="0" shapeId="0">
      <text>
        <r>
          <rPr>
            <sz val="8"/>
            <color indexed="81"/>
            <rFont val="Tahoma"/>
            <family val="2"/>
          </rPr>
          <t>Model = Model 3.0
Variable =  Constant
Coeff = 101.662
StdErr = 3.08451
t-stat = 32.959
P-value = 0
VIF = 0
StdCoeff = 0</t>
        </r>
      </text>
    </comment>
    <comment ref="B21" authorId="0" shapeId="0">
      <text>
        <r>
          <rPr>
            <sz val="8"/>
            <color indexed="81"/>
            <rFont val="Tahoma"/>
            <family val="2"/>
          </rPr>
          <t>Model = Model 1.0
Variable = X_1
Coeff = 0.61069
StdErr = 0.14451
t-stat = 4.226
P-value = 0
VIF = 9.406
StdCoeff = 0.47822</t>
        </r>
      </text>
    </comment>
    <comment ref="C21" authorId="0" shapeId="0">
      <text>
        <r>
          <rPr>
            <sz val="8"/>
            <color indexed="81"/>
            <rFont val="Tahoma"/>
            <family val="2"/>
          </rPr>
          <t>Model = Model 2.0
Variable = X_1
Coeff = 0.89835
StdErr = 0.058221
t-stat = 15.43
P-value = 0
VIF = 1
StdCoeff = 0.70348</t>
        </r>
      </text>
    </comment>
    <comment ref="D21" authorId="0" shapeId="0">
      <text>
        <r>
          <rPr>
            <sz val="8"/>
            <color indexed="81"/>
            <rFont val="Tahoma"/>
            <family val="2"/>
          </rPr>
          <t>Model = Model 3.0
Variable = X_1
Coeff = 0.93189
StdErr = 0.047699
t-stat = 19.537
P-value = 0
VIF = 1.006
StdCoeff = 0.72975</t>
        </r>
      </text>
    </comment>
    <comment ref="E21" authorId="0" shapeId="0">
      <text>
        <r>
          <rPr>
            <sz val="8"/>
            <color indexed="81"/>
            <rFont val="Tahoma"/>
            <family val="2"/>
          </rPr>
          <t>Model = Model 4.0
Variable = X_1
Coeff = 1.87633
StdErr = 0.089301
t-stat = 21.011
P-value = 0
VIF = 0
StdCoeff = 0</t>
        </r>
      </text>
    </comment>
    <comment ref="B22" authorId="0" shapeId="0">
      <text>
        <r>
          <rPr>
            <sz val="8"/>
            <color indexed="81"/>
            <rFont val="Tahoma"/>
            <family val="2"/>
          </rPr>
          <t>Model = Model 1.0
Variable = X_2
Coeff = -0.066305
StdErr = 0.047923
t-stat = -1.384
P-value = 0.168
VIF = 1.013
StdCoeff = -0.05139</t>
        </r>
      </text>
    </comment>
    <comment ref="D22" authorId="0" shapeId="0">
      <text>
        <r>
          <rPr>
            <sz val="8"/>
            <color indexed="81"/>
            <rFont val="Tahoma"/>
            <family val="2"/>
          </rPr>
          <t>Model = Model 3.0
Variable = X_2
Coeff = -0.077727
StdErr = 0.048122
t-stat = -1.615
P-value = 0.108
VIF = 1.003
StdCoeff = -0.06024</t>
        </r>
      </text>
    </comment>
    <comment ref="E22" authorId="0" shapeId="0">
      <text>
        <r>
          <rPr>
            <sz val="8"/>
            <color indexed="81"/>
            <rFont val="Tahoma"/>
            <family val="2"/>
          </rPr>
          <t>Model = Model 4.0
Variable = X_2
Coeff = -0.115779
StdErr = 0.112667
t-stat = -1.028
P-value = 0.305
VIF = 0
StdCoeff = 0</t>
        </r>
      </text>
    </comment>
    <comment ref="B23" authorId="0" shapeId="0">
      <text>
        <r>
          <rPr>
            <sz val="8"/>
            <color indexed="81"/>
            <rFont val="Tahoma"/>
            <family val="2"/>
          </rPr>
          <t>Model = Model 1.0
Variable = X_3
Coeff = 0.053667
StdErr = 0.0047585
t-stat = 11.278
P-value = 0
VIF = 1.012
StdCoeff = 0.41861</t>
        </r>
      </text>
    </comment>
    <comment ref="D23" authorId="0" shapeId="0">
      <text>
        <r>
          <rPr>
            <sz val="8"/>
            <color indexed="81"/>
            <rFont val="Tahoma"/>
            <family val="2"/>
          </rPr>
          <t>Model = Model 3.0
Variable = X_3
Coeff = 0.052651
StdErr = 0.0047833
t-stat = 11.007
P-value = 0
VIF = 1.004
StdCoeff = 0.41069</t>
        </r>
      </text>
    </comment>
    <comment ref="E23" authorId="0" shapeId="0">
      <text>
        <r>
          <rPr>
            <sz val="8"/>
            <color indexed="81"/>
            <rFont val="Tahoma"/>
            <family val="2"/>
          </rPr>
          <t>Model = Model 4.0
Variable = X_3
Coeff = 0.181451
StdErr = 0.0064596
t-stat = 28.09
P-value = 0
VIF = 0
StdCoeff = 0</t>
        </r>
      </text>
    </comment>
    <comment ref="B24" authorId="0" shapeId="0">
      <text>
        <r>
          <rPr>
            <sz val="8"/>
            <color indexed="81"/>
            <rFont val="Tahoma"/>
            <family val="2"/>
          </rPr>
          <t>Model = Model 1.0
Variable = X_4
Coeff = 0.316097
StdErr = 0.134395
t-stat = 2.352
P-value = 0.019
VIF = 9.419
StdCoeff = 0.26635</t>
        </r>
      </text>
    </comment>
  </commentList>
</comments>
</file>

<file path=xl/sharedStrings.xml><?xml version="1.0" encoding="utf-8"?>
<sst xmlns="http://schemas.openxmlformats.org/spreadsheetml/2006/main" count="511" uniqueCount="206">
  <si>
    <t>Date</t>
  </si>
  <si>
    <t>X_1</t>
  </si>
  <si>
    <t>X_2</t>
  </si>
  <si>
    <t>X_3</t>
  </si>
  <si>
    <t>X_4</t>
  </si>
  <si>
    <t>X_5</t>
  </si>
  <si>
    <t>Y</t>
  </si>
  <si>
    <t>Descriptive Statistics</t>
  </si>
  <si>
    <t xml:space="preserve">Variable      </t>
  </si>
  <si>
    <t># Fitted</t>
  </si>
  <si>
    <t>Mean</t>
  </si>
  <si>
    <t>Median</t>
  </si>
  <si>
    <t>Std.Dev.</t>
  </si>
  <si>
    <t>Root.M.Sqr.</t>
  </si>
  <si>
    <t>Std.Err.Mean</t>
  </si>
  <si>
    <t>Minimum</t>
  </si>
  <si>
    <t>Maximum</t>
  </si>
  <si>
    <t>Skewness</t>
  </si>
  <si>
    <t>Kurtosis</t>
  </si>
  <si>
    <t>Autocorrelations</t>
  </si>
  <si>
    <t>Lag 1</t>
  </si>
  <si>
    <t>Lag 2</t>
  </si>
  <si>
    <t>Lag 3</t>
  </si>
  <si>
    <t>Lag 4</t>
  </si>
  <si>
    <t xml:space="preserve"> 1 2 3 4</t>
  </si>
  <si>
    <t>Correlation Matrix (n=245)</t>
  </si>
  <si>
    <t xml:space="preserve">             Y</t>
  </si>
  <si>
    <t xml:space="preserve">           X_1</t>
  </si>
  <si>
    <t xml:space="preserve">           X_2</t>
  </si>
  <si>
    <t xml:space="preserve">           X_3</t>
  </si>
  <si>
    <t xml:space="preserve">           X_4</t>
  </si>
  <si>
    <t xml:space="preserve">           X_5</t>
  </si>
  <si>
    <t>End of Output</t>
  </si>
  <si>
    <t>2/15/18 1:31 PM on FACDS2140 - Stats 1 - RegressItPCtest.xlsx - RegressItPC - Version 2018.02.15</t>
  </si>
  <si>
    <t>Stats 1</t>
  </si>
  <si>
    <t>Observation #</t>
  </si>
  <si>
    <t>TrendLines</t>
  </si>
  <si>
    <t>Series Plots</t>
  </si>
  <si>
    <t>Editable</t>
  </si>
  <si>
    <t>.</t>
  </si>
  <si>
    <t>Histogram Plots</t>
  </si>
  <si>
    <t>Scatterplots</t>
  </si>
  <si>
    <t>2/15/18 1:32 PM on FACDS2140 - Stats 2 - RegressItPCtest.xlsx - RegressItPC - Version 2018.02.15</t>
  </si>
  <si>
    <t>Stats 2</t>
  </si>
  <si>
    <t>Hi-res picture</t>
  </si>
  <si>
    <t>2/15/18 1:33 PM on FACDS2140 - Stats 3 - RegressItPCtest.xlsx - RegressItPC - Version 2018.02.15</t>
  </si>
  <si>
    <t>Stats 3</t>
  </si>
  <si>
    <t>Model:</t>
  </si>
  <si>
    <t>Model 1.0</t>
  </si>
  <si>
    <t>Low-res picture</t>
  </si>
  <si>
    <t>2/15/18 1:36 PM on FACDS2140 - Model 1.0 - RegressItPCtest1.xlsx - RegressItPC - Version 2018.02.15</t>
  </si>
  <si>
    <t>Dependent Variable:</t>
  </si>
  <si>
    <t>Independent Variables:</t>
  </si>
  <si>
    <t>X_1, X_2, X_3, X_4</t>
  </si>
  <si>
    <t>Equation:</t>
  </si>
  <si>
    <t>Predicted Y = 99.755 + 0.611*X_1 - 0.066*X_2 + 0.054*X_3 + 0.316*X_4</t>
  </si>
  <si>
    <t>Regression Statistics:    Model 1.0 for Y    (4 variables, n=245)</t>
  </si>
  <si>
    <t>R-Squared</t>
  </si>
  <si>
    <t>Adj.R-Sqr.</t>
  </si>
  <si>
    <t xml:space="preserve">Std.Err.Reg. </t>
  </si>
  <si>
    <t>Std.Dep.Var.</t>
  </si>
  <si>
    <t># Missing</t>
  </si>
  <si>
    <t>Confidence</t>
  </si>
  <si>
    <t>Coefficient Estimates:    Model 1.0 for Y    (4 variables, n=245)</t>
  </si>
  <si>
    <t>Variable</t>
  </si>
  <si>
    <t>Coefficient</t>
  </si>
  <si>
    <t>Std.Err.</t>
  </si>
  <si>
    <t>t-Statistic</t>
  </si>
  <si>
    <t>P-value</t>
  </si>
  <si>
    <t>With P-value</t>
  </si>
  <si>
    <t>Std. Coeff.</t>
  </si>
  <si>
    <t>VIF</t>
  </si>
  <si>
    <t xml:space="preserve"> Constant</t>
  </si>
  <si>
    <t>Analysis of Variance:    Model 1.0 for Y    (4 variables, n=245)</t>
  </si>
  <si>
    <t>Source</t>
  </si>
  <si>
    <t>Regression</t>
  </si>
  <si>
    <t>Residual</t>
  </si>
  <si>
    <t>Total</t>
  </si>
  <si>
    <t>Deg. Freedom</t>
  </si>
  <si>
    <t>Sum Squares</t>
  </si>
  <si>
    <t>Mean Square</t>
  </si>
  <si>
    <t>F-Statistic</t>
  </si>
  <si>
    <t>Error Distribution Statistics:    Model 1.0 for Y    (4 variables, n=245)</t>
  </si>
  <si>
    <t>MAPE</t>
  </si>
  <si>
    <t>MASE lag 1</t>
  </si>
  <si>
    <t>Fitted (n=245)</t>
  </si>
  <si>
    <t>Mean Error</t>
  </si>
  <si>
    <t>RMSE</t>
  </si>
  <si>
    <t>MAE</t>
  </si>
  <si>
    <t>0.39 (P=0.384)</t>
  </si>
  <si>
    <t>A-D* stat</t>
  </si>
  <si>
    <t>Residual Autocorrelations:    Model 1.0 for Y    (4 variables, n=245)</t>
  </si>
  <si>
    <t>Lag</t>
  </si>
  <si>
    <t>Autocorrelation</t>
  </si>
  <si>
    <t>StdErrorsFromZero</t>
  </si>
  <si>
    <t>Durbin-Watson</t>
  </si>
  <si>
    <t>Correlation Matrix of Coefficient Estimates : Model 1.0 for Y    (4 variables, n=245)</t>
  </si>
  <si>
    <t xml:space="preserve">       Constant</t>
  </si>
  <si>
    <t>Residual Table: Model 1.0 for Y    (4 variables, n=245)</t>
  </si>
  <si>
    <t>Actual</t>
  </si>
  <si>
    <t>Predicted</t>
  </si>
  <si>
    <t>Std.Res.</t>
  </si>
  <si>
    <t>AbsStdRes</t>
  </si>
  <si>
    <t>Leverage</t>
  </si>
  <si>
    <t>Cook's D</t>
  </si>
  <si>
    <t>Summary of Regression Model Results</t>
  </si>
  <si>
    <t>Dependent Variable:  Y</t>
  </si>
  <si>
    <t>Run Time</t>
  </si>
  <si>
    <t>Standard Deviation</t>
  </si>
  <si>
    <t>Number Of Variables</t>
  </si>
  <si>
    <t>Standard Error of Regression</t>
  </si>
  <si>
    <t>R-squared</t>
  </si>
  <si>
    <t>Adjusted R-squared</t>
  </si>
  <si>
    <t>Mean Absolute Error</t>
  </si>
  <si>
    <t>Mean Absolute Percentage Error</t>
  </si>
  <si>
    <t>Maximum VIF</t>
  </si>
  <si>
    <t>Normality Test</t>
  </si>
  <si>
    <t xml:space="preserve">  Coefficients:</t>
  </si>
  <si>
    <t>Model 1.0 (#vars=4, n=245, AdjRsq=0.668): Y &lt;&lt; X_1, X_2, X_3, X_4</t>
  </si>
  <si>
    <t xml:space="preserve">_  </t>
  </si>
  <si>
    <t>0.526 (lag 1)</t>
  </si>
  <si>
    <t>Mean Absolute Scaled Error</t>
  </si>
  <si>
    <t>0.33 (lag 1)</t>
  </si>
  <si>
    <t>Residual Autocorrelation</t>
  </si>
  <si>
    <t>99.755  (0.000)</t>
  </si>
  <si>
    <t>0.611  (0.000)</t>
  </si>
  <si>
    <t>-0.066  (0.168)</t>
  </si>
  <si>
    <t>0.054  (0.000)</t>
  </si>
  <si>
    <t>0.316  (0.019)</t>
  </si>
  <si>
    <t>White</t>
  </si>
  <si>
    <t>No Font</t>
  </si>
  <si>
    <t>No following model in this sequence.</t>
  </si>
  <si>
    <t>No preceding model in this sequence.</t>
  </si>
  <si>
    <t>R code:</t>
  </si>
  <si>
    <t>Model.1.0 &lt;- lm(Y ~ X_1 +  X_2 +  X_3 +  X_4, data = cardata)</t>
  </si>
  <si>
    <t>NoHeaders</t>
  </si>
  <si>
    <t>No Comment</t>
  </si>
  <si>
    <t>Model 2.0</t>
  </si>
  <si>
    <t>2/15/18 1:37 PM on FACDS2140 - Model 2.0 - RegressItPCtest2.xlsx - RegressItPC - Version 2018.02.15</t>
  </si>
  <si>
    <t>Predicted Y = 129.438 + 0.898*X_1</t>
  </si>
  <si>
    <t>Regression Statistics:    Model 2.0 for Y    (1 variable, n=245)</t>
  </si>
  <si>
    <t>Coefficient Estimates:    Model 2.0 for Y    (1 variable, n=245)</t>
  </si>
  <si>
    <t>Analysis of Variance:    Model 2.0 for Y    (1 variable, n=245)</t>
  </si>
  <si>
    <t>Notes</t>
  </si>
  <si>
    <t>Line Fit Plot</t>
  </si>
  <si>
    <t>StdErrMean</t>
  </si>
  <si>
    <t>StdErrFcst</t>
  </si>
  <si>
    <t>Error Distribution Statistics:    Model 2.0 for Y    (1 variable, n=245)</t>
  </si>
  <si>
    <t>4.23 (P=0.000)</t>
  </si>
  <si>
    <t>Forecasts:  Model 2.0 for Y    (1 variable, n=245)</t>
  </si>
  <si>
    <t>Obs#</t>
  </si>
  <si>
    <t>Forecast</t>
  </si>
  <si>
    <t>StErrFcst</t>
  </si>
  <si>
    <t>StErrMean</t>
  </si>
  <si>
    <t xml:space="preserve">         X_1</t>
  </si>
  <si>
    <t>Actual and Predicted -vs- Observation #</t>
  </si>
  <si>
    <t>Residual -vs- Observation #</t>
  </si>
  <si>
    <t>Residual -vs- Predicted</t>
  </si>
  <si>
    <t>Histogram of Residuals</t>
  </si>
  <si>
    <t>Normal Quantile Plot</t>
  </si>
  <si>
    <t>Model 2.0 (#vars=1, n=245, AdjRsq=0.493): Y &lt;&lt; X_1</t>
  </si>
  <si>
    <t xml:space="preserve"> * * *  </t>
  </si>
  <si>
    <t>129.438  (0.000)</t>
  </si>
  <si>
    <t>0.898  (0.000)</t>
  </si>
  <si>
    <t>Model 2.0 preceding model was Model 1.0 (#vars=4, n=245, AdjRsq=0.668): Y &lt;&lt; X_1, X_2, X_3, X_4</t>
  </si>
  <si>
    <t>Model.2.0 &lt;- lm(Y ~ X_1, data = cardata)</t>
  </si>
  <si>
    <t>Model 1.0 last follower visited was Model 2.0 (#vars=1, n=245, AdjRsq=0.493): Y &lt;&lt; X_1</t>
  </si>
  <si>
    <t>Model 1.0 following model is Model 2.0 (#vars=1, n=245, AdjRsq=0.493): Y &lt;&lt; X_1</t>
  </si>
  <si>
    <t>Model 3.0</t>
  </si>
  <si>
    <t>2/15/18 1:38 PM on FACDS2140 - Model 3.0 - RegressItPCtest3.xlsx - RegressItPC - Version 2018.02.15</t>
  </si>
  <si>
    <t>X_1, X_2, X_3</t>
  </si>
  <si>
    <t>Predicted Y = 101.662 + 0.932*X_1 - 0.078*X_2 + 0.053*X_3</t>
  </si>
  <si>
    <t>Regression Statistics:    Model 3.0 for Y    (3 variables, n=245)</t>
  </si>
  <si>
    <t>Coefficient Estimates:    Model 3.0 for Y    (3 variables, n=245)</t>
  </si>
  <si>
    <t>Standardized</t>
  </si>
  <si>
    <t>Analysis of Variance:    Model 3.0 for Y    (3 variables, n=245)</t>
  </si>
  <si>
    <t>Error Distribution Statistics:    Model 3.0 for Y    (3 variables, n=245)</t>
  </si>
  <si>
    <t>0.39 (P=0.374)</t>
  </si>
  <si>
    <t>Forecasts:  Model 3.0 for Y    (3 variables, n=245)</t>
  </si>
  <si>
    <t xml:space="preserve">         X_2</t>
  </si>
  <si>
    <t xml:space="preserve">         X_3</t>
  </si>
  <si>
    <t>Model 3.0 (#vars=3, n=245, AdjRsq=0.662): Y &lt;&lt; X_1, X_2, X_3</t>
  </si>
  <si>
    <t>Model 3.0 preceding model was Model 2.0 (#vars=1, n=245, AdjRsq=0.493): Y &lt;&lt; X_1</t>
  </si>
  <si>
    <t>Model.3.0 &lt;- lm(Y ~ X_1 +  X_2 +  X_3, data = cardata)</t>
  </si>
  <si>
    <t>Model 2.0 last follower visited was Model 3.0 (#vars=3, n=245, AdjRsq=0.662): Y &lt;&lt; X_1, X_2, X_3</t>
  </si>
  <si>
    <t>Model 2.0 following model is Model 3.0 (#vars=3, n=245, AdjRsq=0.662): Y &lt;&lt; X_1, X_2, X_3</t>
  </si>
  <si>
    <t>Model 4.0</t>
  </si>
  <si>
    <t>2/15/18 1:39 PM on FACDS2140 - Model 4.0 - RegressItPCtest4.xlsx - RegressItPC - Version 2018.02.15</t>
  </si>
  <si>
    <t>X_1, X_2, X_3, no constant</t>
  </si>
  <si>
    <t>Predicted Y =  + 1.876*X_1 - 0.116*X_2 + 0.181*X_3</t>
  </si>
  <si>
    <t>Regression Statistics:    Model 4.0 for Y    (3 variables, no constant, n=245)</t>
  </si>
  <si>
    <t>RootM.Sqr.</t>
  </si>
  <si>
    <t>There is no universally accepted definition of R-squared and adjusted R-squared for a model with no constant.</t>
  </si>
  <si>
    <t>The mean value of the residuals is not necessarily zero when there is no constant.  In this model it is 2.487.</t>
  </si>
  <si>
    <t>Coefficient Estimates:    Model 4.0 for Y    (3 variables, no constant, n=245)</t>
  </si>
  <si>
    <t>Analysis of Variance:    Model 4.0 for Y    (3 variables, no constant, n=245)</t>
  </si>
  <si>
    <t>Error Distribution Statistics:    Model 4.0 for Y    (3 variables, no constant, n=245)</t>
  </si>
  <si>
    <t>0.70 (P=0.067)</t>
  </si>
  <si>
    <t>Forecasts:  Model 4.0 for Y    (3 variables, no constant, n=245)</t>
  </si>
  <si>
    <t>Model 4.0 (#vars=3, no constant, n=245, AdjRsq=0.988): Y &lt;&lt; X_1, X_2, X_3, no constant</t>
  </si>
  <si>
    <t>Model 4.0 preceding model was Model 3.0 (#vars=3, n=245, AdjRsq=0.662): Y &lt;&lt; X_1, X_2, X_3</t>
  </si>
  <si>
    <t>Model.4.0 &lt;- lm(Y ~ X_1 +  X_2 +  X_3 +  0, data = cardata)</t>
  </si>
  <si>
    <t>Model 3.0 last follower visited was Model 4.0 (#vars=3, no constant, n=245, AdjRsq=0.988): Y &lt;&lt; X_1, X_2, X_3, no constant</t>
  </si>
  <si>
    <t>Model 3.0 following model is Model 4.0 (#vars=3, no constant, n=245, AdjRsq=0.988): Y &lt;&lt; X_1, X_2, X_3, no constant</t>
  </si>
  <si>
    <t>Comment</t>
  </si>
  <si>
    <t>Font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</si>
</sst>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0"/>
    <numFmt numFmtId="165" formatCode="0.000"/>
    <numFmt numFmtId="166" formatCode="#,###"/>
    <numFmt numFmtId="167" formatCode="0.000000"/>
    <numFmt numFmtId="168" formatCode="#,##0.000"/>
    <numFmt numFmtId="169" formatCode="0.0%"/>
    <numFmt numFmtId="170" formatCode="[$-409]m/d/yy\ h:mm\ AM/PM;@"/>
  </numFmts>
  <fonts count="17" x14ac:knownFonts="1">
    <font>
      <sz val="11"/>
      <color theme="1"/>
      <name val="Calibri"/>
      <family val="2"/>
      <scheme val="minor"/>
    </font>
    <font>
      <sz val="8"/>
      <color theme="1"/>
      <name val="Arial"/>
      <family val="2"/>
    </font>
    <font>
      <b/>
      <u/>
      <sz val="8"/>
      <color theme="1"/>
      <name val="Arial"/>
      <family val="2"/>
    </font>
    <font>
      <sz val="8"/>
      <color rgb="FFFFFFFF"/>
      <name val="Arial"/>
      <family val="2"/>
    </font>
    <font>
      <sz val="8"/>
      <color rgb="FFF8F8F8"/>
      <name val="Arial"/>
      <family val="2"/>
    </font>
    <font>
      <sz val="8"/>
      <color rgb="FFB2B2B2"/>
      <name val="Arial"/>
      <family val="2"/>
    </font>
    <font>
      <sz val="8"/>
      <color rgb="FF010101"/>
      <name val="Arial"/>
      <family val="2"/>
    </font>
    <font>
      <i/>
      <sz val="8"/>
      <color theme="1"/>
      <name val="Arial"/>
      <family val="2"/>
    </font>
    <font>
      <sz val="8"/>
      <color theme="0"/>
      <name val="Arial"/>
      <family val="2"/>
    </font>
    <font>
      <sz val="8"/>
      <color rgb="FF020202"/>
      <name val="Arial"/>
      <family val="2"/>
    </font>
    <font>
      <b/>
      <sz val="8"/>
      <color theme="1"/>
      <name val="Arial"/>
      <family val="2"/>
    </font>
    <font>
      <b/>
      <sz val="7"/>
      <color theme="1"/>
      <name val="Arial"/>
      <family val="2"/>
    </font>
    <font>
      <sz val="8"/>
      <color rgb="FF000000"/>
      <name val="Arial"/>
      <family val="2"/>
    </font>
    <font>
      <sz val="8"/>
      <color indexed="81"/>
      <name val="Tahoma"/>
      <family val="2"/>
    </font>
    <font>
      <sz val="8"/>
      <color rgb="FF777777"/>
      <name val="Arial"/>
      <family val="2"/>
    </font>
    <font>
      <b/>
      <sz val="8"/>
      <color rgb="FF000000"/>
      <name val="Arial"/>
      <family val="2"/>
    </font>
    <font>
      <sz val="8"/>
      <color rgb="FF000000"/>
      <name val="Arial Black"/>
      <family val="2"/>
    </font>
  </fonts>
  <fills count="3">
    <fill>
      <patternFill patternType="none"/>
    </fill>
    <fill>
      <patternFill patternType="gray125"/>
    </fill>
    <fill>
      <patternFill patternType="solid">
        <fgColor rgb="FFE6E6E6"/>
        <bgColor indexed="64"/>
      </patternFill>
    </fill>
  </fills>
  <borders count="3">
    <border>
      <left/>
      <right/>
      <top/>
      <bottom/>
      <diagonal/>
    </border>
    <border>
      <left/>
      <right/>
      <top/>
      <bottom style="medium">
        <color indexed="18"/>
      </bottom>
      <diagonal/>
    </border>
    <border>
      <left style="medium">
        <color indexed="18"/>
      </left>
      <right/>
      <top/>
      <bottom style="medium">
        <color indexed="18"/>
      </bottom>
      <diagonal/>
    </border>
  </borders>
  <cellStyleXfs count="1">
    <xf numFmtId="0" fontId="0" fillId="0" borderId="0"/>
  </cellStyleXfs>
  <cellXfs count="80">
    <xf numFmtId="0" fontId="0" fillId="0" borderId="0" xfId="0"/>
    <xf numFmtId="14" fontId="0" fillId="0" borderId="0" xfId="0" applyNumberFormat="1"/>
    <xf numFmtId="164" fontId="0" fillId="0" borderId="0" xfId="0" applyNumberFormat="1"/>
    <xf numFmtId="1" fontId="0" fillId="0" borderId="0" xfId="0" applyNumberFormat="1"/>
    <xf numFmtId="165" fontId="1" fillId="0" borderId="0" xfId="0" applyNumberFormat="1" applyFont="1"/>
    <xf numFmtId="165" fontId="2" fillId="0" borderId="0" xfId="0" applyNumberFormat="1" applyFont="1"/>
    <xf numFmtId="165" fontId="1" fillId="0" borderId="0" xfId="0" applyNumberFormat="1" applyFont="1" applyAlignment="1">
      <alignment horizontal="right"/>
    </xf>
    <xf numFmtId="165" fontId="1" fillId="0" borderId="1" xfId="0" applyNumberFormat="1" applyFont="1" applyBorder="1" applyAlignment="1">
      <alignment horizontal="right"/>
    </xf>
    <xf numFmtId="165" fontId="1" fillId="0" borderId="1" xfId="0" applyNumberFormat="1" applyFont="1" applyBorder="1"/>
    <xf numFmtId="165" fontId="1" fillId="0" borderId="0" xfId="0" applyNumberFormat="1" applyFont="1" applyAlignment="1">
      <alignment horizontal="center"/>
    </xf>
    <xf numFmtId="1" fontId="1" fillId="0" borderId="0" xfId="0" applyNumberFormat="1" applyFont="1"/>
    <xf numFmtId="166" fontId="1" fillId="0" borderId="0" xfId="0" applyNumberFormat="1" applyFont="1"/>
    <xf numFmtId="167" fontId="1" fillId="0" borderId="0" xfId="0" applyNumberFormat="1" applyFont="1"/>
    <xf numFmtId="165" fontId="3" fillId="0" borderId="0" xfId="0" applyNumberFormat="1" applyFont="1"/>
    <xf numFmtId="165" fontId="4" fillId="0" borderId="0" xfId="0" applyNumberFormat="1" applyFont="1"/>
    <xf numFmtId="165" fontId="5" fillId="0" borderId="0" xfId="0" applyNumberFormat="1" applyFont="1"/>
    <xf numFmtId="165" fontId="1" fillId="0" borderId="2" xfId="0" applyNumberFormat="1" applyFont="1" applyBorder="1"/>
    <xf numFmtId="165" fontId="6" fillId="0" borderId="0" xfId="0" applyNumberFormat="1" applyFont="1"/>
    <xf numFmtId="165" fontId="7" fillId="0" borderId="0" xfId="0" applyNumberFormat="1" applyFont="1"/>
    <xf numFmtId="165" fontId="8" fillId="0" borderId="0" xfId="0" applyNumberFormat="1" applyFont="1"/>
    <xf numFmtId="165" fontId="9" fillId="0" borderId="0" xfId="0" applyNumberFormat="1" applyFont="1"/>
    <xf numFmtId="168" fontId="1" fillId="0" borderId="0" xfId="0" applyNumberFormat="1" applyFont="1" applyAlignment="1"/>
    <xf numFmtId="168" fontId="10" fillId="0" borderId="0" xfId="0" applyNumberFormat="1" applyFont="1" applyAlignment="1"/>
    <xf numFmtId="168" fontId="3" fillId="0" borderId="0" xfId="0" applyNumberFormat="1" applyFont="1" applyAlignment="1"/>
    <xf numFmtId="168" fontId="7" fillId="0" borderId="0" xfId="0" applyNumberFormat="1" applyFont="1" applyAlignment="1"/>
    <xf numFmtId="168" fontId="2" fillId="0" borderId="0" xfId="0" applyNumberFormat="1" applyFont="1" applyAlignment="1"/>
    <xf numFmtId="168" fontId="1" fillId="0" borderId="1" xfId="0" applyNumberFormat="1" applyFont="1" applyBorder="1" applyAlignment="1"/>
    <xf numFmtId="168" fontId="11" fillId="0" borderId="1" xfId="0" applyNumberFormat="1" applyFont="1" applyBorder="1" applyAlignment="1"/>
    <xf numFmtId="168" fontId="11" fillId="0" borderId="1" xfId="0" applyNumberFormat="1" applyFont="1" applyBorder="1" applyAlignment="1">
      <alignment horizontal="right"/>
    </xf>
    <xf numFmtId="165" fontId="1" fillId="0" borderId="0" xfId="0" applyNumberFormat="1" applyFont="1" applyAlignment="1"/>
    <xf numFmtId="1" fontId="1" fillId="0" borderId="0" xfId="0" applyNumberFormat="1" applyFont="1" applyAlignment="1"/>
    <xf numFmtId="168" fontId="11" fillId="0" borderId="1" xfId="0" applyNumberFormat="1" applyFont="1" applyBorder="1" applyAlignment="1">
      <alignment horizontal="center"/>
    </xf>
    <xf numFmtId="1" fontId="1" fillId="0" borderId="0" xfId="0" applyNumberFormat="1" applyFont="1" applyAlignment="1">
      <alignment horizontal="center"/>
    </xf>
    <xf numFmtId="168" fontId="1" fillId="0" borderId="0" xfId="0" applyNumberFormat="1" applyFont="1" applyAlignment="1">
      <alignment horizontal="center"/>
    </xf>
    <xf numFmtId="169" fontId="1" fillId="0" borderId="0" xfId="0" applyNumberFormat="1" applyFont="1" applyAlignment="1">
      <alignment horizontal="center"/>
    </xf>
    <xf numFmtId="168" fontId="11" fillId="0" borderId="1" xfId="0" applyNumberFormat="1" applyFont="1" applyBorder="1" applyAlignment="1">
      <alignment horizontal="left"/>
    </xf>
    <xf numFmtId="168" fontId="1" fillId="0" borderId="0" xfId="0" applyNumberFormat="1" applyFont="1" applyAlignment="1">
      <alignment horizontal="left"/>
    </xf>
    <xf numFmtId="167" fontId="1" fillId="0" borderId="0" xfId="0" applyNumberFormat="1" applyFont="1" applyAlignment="1">
      <alignment horizontal="right"/>
    </xf>
    <xf numFmtId="166" fontId="1" fillId="0" borderId="0" xfId="0" applyNumberFormat="1" applyFont="1" applyAlignment="1"/>
    <xf numFmtId="168" fontId="4" fillId="0" borderId="0" xfId="0" applyNumberFormat="1" applyFont="1" applyAlignment="1"/>
    <xf numFmtId="1" fontId="11" fillId="0" borderId="1" xfId="0" applyNumberFormat="1" applyFont="1" applyBorder="1" applyAlignment="1">
      <alignment horizontal="right"/>
    </xf>
    <xf numFmtId="168" fontId="12" fillId="0" borderId="0" xfId="0" applyNumberFormat="1" applyFont="1" applyAlignment="1"/>
    <xf numFmtId="165" fontId="12" fillId="0" borderId="0" xfId="0" applyNumberFormat="1" applyFont="1" applyAlignment="1"/>
    <xf numFmtId="168" fontId="1" fillId="0" borderId="0" xfId="0" applyNumberFormat="1" applyFont="1" applyAlignment="1">
      <alignment horizontal="right"/>
    </xf>
    <xf numFmtId="168" fontId="1" fillId="0" borderId="1" xfId="0" applyNumberFormat="1" applyFont="1" applyBorder="1" applyAlignment="1">
      <alignment horizontal="right"/>
    </xf>
    <xf numFmtId="168" fontId="5" fillId="0" borderId="0" xfId="0" applyNumberFormat="1" applyFont="1" applyAlignment="1"/>
    <xf numFmtId="168" fontId="1" fillId="0" borderId="2" xfId="0" applyNumberFormat="1" applyFont="1" applyBorder="1" applyAlignment="1"/>
    <xf numFmtId="168" fontId="6" fillId="0" borderId="0" xfId="0" applyNumberFormat="1" applyFont="1" applyAlignment="1"/>
    <xf numFmtId="168" fontId="2" fillId="0" borderId="0" xfId="0" applyNumberFormat="1" applyFont="1" applyAlignment="1">
      <alignment horizontal="right"/>
    </xf>
    <xf numFmtId="168" fontId="1" fillId="2" borderId="0" xfId="0" applyNumberFormat="1" applyFont="1" applyFill="1" applyAlignment="1">
      <alignment horizontal="right"/>
    </xf>
    <xf numFmtId="168" fontId="10" fillId="2" borderId="0" xfId="0" applyNumberFormat="1" applyFont="1" applyFill="1" applyAlignment="1">
      <alignment horizontal="left"/>
    </xf>
    <xf numFmtId="168" fontId="10" fillId="0" borderId="0" xfId="0" applyNumberFormat="1" applyFont="1" applyAlignment="1">
      <alignment horizontal="right"/>
    </xf>
    <xf numFmtId="168" fontId="3" fillId="0" borderId="0" xfId="0" applyNumberFormat="1" applyFont="1" applyAlignment="1">
      <alignment horizontal="right"/>
    </xf>
    <xf numFmtId="170" fontId="1" fillId="0" borderId="0" xfId="0" applyNumberFormat="1" applyFont="1" applyAlignment="1">
      <alignment horizontal="right"/>
    </xf>
    <xf numFmtId="1" fontId="1" fillId="0" borderId="0" xfId="0" applyNumberFormat="1" applyFont="1" applyAlignment="1">
      <alignment horizontal="right"/>
    </xf>
    <xf numFmtId="169" fontId="1" fillId="0" borderId="0" xfId="0" applyNumberFormat="1" applyFont="1" applyAlignment="1">
      <alignment horizontal="right"/>
    </xf>
    <xf numFmtId="168" fontId="1" fillId="0" borderId="0" xfId="0" applyNumberFormat="1" applyFont="1" applyFill="1" applyAlignment="1">
      <alignment horizontal="right"/>
    </xf>
    <xf numFmtId="168" fontId="12" fillId="0" borderId="0" xfId="0" applyNumberFormat="1" applyFont="1" applyFill="1" applyAlignment="1">
      <alignment horizontal="right"/>
    </xf>
    <xf numFmtId="168" fontId="8" fillId="0" borderId="0" xfId="0" applyNumberFormat="1" applyFont="1" applyAlignment="1"/>
    <xf numFmtId="168" fontId="14" fillId="0" borderId="0" xfId="0" applyNumberFormat="1" applyFont="1" applyAlignment="1">
      <alignment horizontal="left"/>
    </xf>
    <xf numFmtId="168" fontId="1" fillId="0" borderId="1" xfId="0" applyNumberFormat="1" applyFont="1" applyBorder="1" applyAlignment="1">
      <alignment horizontal="center"/>
    </xf>
    <xf numFmtId="0" fontId="1" fillId="0" borderId="0" xfId="0" applyNumberFormat="1" applyFont="1" applyAlignment="1"/>
    <xf numFmtId="1" fontId="1" fillId="0" borderId="0" xfId="0" applyNumberFormat="1" applyFont="1" applyFill="1" applyAlignment="1">
      <alignment horizontal="right"/>
    </xf>
    <xf numFmtId="165" fontId="1" fillId="0" borderId="0" xfId="0" applyNumberFormat="1" applyFont="1" applyFill="1" applyAlignment="1">
      <alignment horizontal="right"/>
    </xf>
    <xf numFmtId="169" fontId="1" fillId="0" borderId="0" xfId="0" applyNumberFormat="1" applyFont="1" applyFill="1" applyAlignment="1">
      <alignment horizontal="right"/>
    </xf>
    <xf numFmtId="168" fontId="9" fillId="0" borderId="0" xfId="0" applyNumberFormat="1" applyFont="1" applyAlignment="1"/>
    <xf numFmtId="165" fontId="12" fillId="0" borderId="0" xfId="0" applyNumberFormat="1" applyFont="1" applyFill="1" applyAlignment="1">
      <alignment horizontal="right"/>
    </xf>
    <xf numFmtId="165" fontId="11" fillId="0" borderId="1" xfId="0" applyNumberFormat="1" applyFont="1" applyBorder="1" applyAlignment="1">
      <alignment horizontal="right"/>
    </xf>
    <xf numFmtId="165" fontId="1" fillId="0" borderId="1" xfId="0" applyNumberFormat="1" applyFont="1" applyBorder="1" applyAlignment="1">
      <alignment horizontal="center"/>
    </xf>
    <xf numFmtId="165" fontId="1" fillId="0" borderId="0" xfId="0" applyNumberFormat="1" applyFont="1" applyFill="1" applyAlignment="1">
      <alignment horizontal="center"/>
    </xf>
    <xf numFmtId="165" fontId="1" fillId="0" borderId="0" xfId="0" applyNumberFormat="1" applyFont="1" applyFill="1" applyAlignment="1"/>
    <xf numFmtId="168" fontId="1" fillId="0" borderId="0" xfId="0" applyNumberFormat="1" applyFont="1" applyFill="1" applyAlignment="1"/>
    <xf numFmtId="168" fontId="5" fillId="0" borderId="0" xfId="0" applyNumberFormat="1" applyFont="1" applyFill="1" applyAlignment="1"/>
    <xf numFmtId="168" fontId="10" fillId="0" borderId="0" xfId="0" applyNumberFormat="1" applyFont="1" applyFill="1" applyAlignment="1"/>
    <xf numFmtId="165" fontId="12" fillId="0" borderId="0" xfId="0" applyNumberFormat="1" applyFont="1" applyFill="1"/>
    <xf numFmtId="168" fontId="16" fillId="0" borderId="0" xfId="0" applyNumberFormat="1" applyFont="1" applyFill="1" applyAlignment="1">
      <alignment horizontal="right"/>
    </xf>
    <xf numFmtId="168" fontId="15" fillId="0" borderId="0" xfId="0" applyNumberFormat="1" applyFont="1" applyFill="1" applyAlignment="1">
      <alignment horizontal="right"/>
    </xf>
    <xf numFmtId="165" fontId="16" fillId="0" borderId="0" xfId="0" applyNumberFormat="1" applyFont="1" applyFill="1" applyAlignment="1">
      <alignment horizontal="right"/>
    </xf>
    <xf numFmtId="165" fontId="12" fillId="0" borderId="0" xfId="0" applyNumberFormat="1" applyFont="1" applyAlignment="1">
      <alignment horizontal="right"/>
    </xf>
    <xf numFmtId="165" fontId="12" fillId="0" borderId="0" xfId="0" applyNumberFormat="1"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(n = 245, mean = 161.771, slope = -0.083 per year)</a:t>
            </a:r>
          </a:p>
        </c:rich>
      </c:tx>
      <c:layout/>
      <c:overlay val="0"/>
    </c:title>
    <c:autoTitleDeleted val="0"/>
    <c:plotArea>
      <c:layout>
        <c:manualLayout>
          <c:xMode val="edge"/>
          <c:yMode val="edge"/>
          <c:x val="3.0555490265209387E-2"/>
          <c:y val="0.13333333333333333"/>
          <c:w val="0.96944450973479057"/>
          <c:h val="0.8666666666666667"/>
        </c:manualLayout>
      </c:layout>
      <c:scatterChart>
        <c:scatterStyle val="lineMarker"/>
        <c:varyColors val="0"/>
        <c:ser>
          <c:idx val="0"/>
          <c:order val="0"/>
          <c:spPr>
            <a:ln w="9525" cap="rnd" cmpd="sng" algn="ctr">
              <a:solidFill>
                <a:srgbClr val="0000FF"/>
              </a:solidFill>
              <a:prstDash val="solid"/>
              <a:round/>
              <a:headEnd type="none" w="med" len="med"/>
              <a:tailEnd type="none" w="med" len="med"/>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spPr>
              <a:ln w="3175">
                <a:solidFill>
                  <a:srgbClr val="969696"/>
                </a:solidFill>
                <a:prstDash val="solid"/>
              </a:ln>
            </c:spPr>
            <c:trendlineType val="linear"/>
            <c:dispRSqr val="0"/>
            <c:dispEq val="0"/>
          </c:trendline>
          <c:xVal>
            <c:numLit>
              <c:formatCode>General</c:formatCode>
              <c:ptCount val="245"/>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pt idx="156">
                <c:v>40179</c:v>
              </c:pt>
              <c:pt idx="157">
                <c:v>40210</c:v>
              </c:pt>
              <c:pt idx="158">
                <c:v>40238</c:v>
              </c:pt>
              <c:pt idx="159">
                <c:v>40269</c:v>
              </c:pt>
              <c:pt idx="160">
                <c:v>40299</c:v>
              </c:pt>
              <c:pt idx="161">
                <c:v>40330</c:v>
              </c:pt>
              <c:pt idx="162">
                <c:v>40360</c:v>
              </c:pt>
              <c:pt idx="163">
                <c:v>40391</c:v>
              </c:pt>
              <c:pt idx="164">
                <c:v>40422</c:v>
              </c:pt>
              <c:pt idx="165">
                <c:v>40452</c:v>
              </c:pt>
              <c:pt idx="166">
                <c:v>40483</c:v>
              </c:pt>
              <c:pt idx="167">
                <c:v>40513</c:v>
              </c:pt>
              <c:pt idx="168">
                <c:v>40544</c:v>
              </c:pt>
              <c:pt idx="169">
                <c:v>40575</c:v>
              </c:pt>
              <c:pt idx="170">
                <c:v>40603</c:v>
              </c:pt>
              <c:pt idx="171">
                <c:v>40634</c:v>
              </c:pt>
              <c:pt idx="172">
                <c:v>40664</c:v>
              </c:pt>
              <c:pt idx="173">
                <c:v>40695</c:v>
              </c:pt>
              <c:pt idx="174">
                <c:v>40725</c:v>
              </c:pt>
              <c:pt idx="175">
                <c:v>40756</c:v>
              </c:pt>
              <c:pt idx="176">
                <c:v>40787</c:v>
              </c:pt>
              <c:pt idx="177">
                <c:v>40817</c:v>
              </c:pt>
              <c:pt idx="178">
                <c:v>40848</c:v>
              </c:pt>
              <c:pt idx="179">
                <c:v>40878</c:v>
              </c:pt>
              <c:pt idx="180">
                <c:v>40909</c:v>
              </c:pt>
              <c:pt idx="181">
                <c:v>40940</c:v>
              </c:pt>
              <c:pt idx="182">
                <c:v>40969</c:v>
              </c:pt>
              <c:pt idx="183">
                <c:v>41000</c:v>
              </c:pt>
              <c:pt idx="184">
                <c:v>41030</c:v>
              </c:pt>
              <c:pt idx="185">
                <c:v>41061</c:v>
              </c:pt>
              <c:pt idx="186">
                <c:v>41091</c:v>
              </c:pt>
              <c:pt idx="187">
                <c:v>41122</c:v>
              </c:pt>
              <c:pt idx="188">
                <c:v>41153</c:v>
              </c:pt>
              <c:pt idx="189">
                <c:v>41183</c:v>
              </c:pt>
              <c:pt idx="190">
                <c:v>41214</c:v>
              </c:pt>
              <c:pt idx="191">
                <c:v>41244</c:v>
              </c:pt>
              <c:pt idx="192">
                <c:v>41275</c:v>
              </c:pt>
              <c:pt idx="193">
                <c:v>41306</c:v>
              </c:pt>
              <c:pt idx="194">
                <c:v>41334</c:v>
              </c:pt>
              <c:pt idx="195">
                <c:v>41365</c:v>
              </c:pt>
              <c:pt idx="196">
                <c:v>41395</c:v>
              </c:pt>
              <c:pt idx="197">
                <c:v>41426</c:v>
              </c:pt>
              <c:pt idx="198">
                <c:v>41456</c:v>
              </c:pt>
              <c:pt idx="199">
                <c:v>41487</c:v>
              </c:pt>
              <c:pt idx="200">
                <c:v>41518</c:v>
              </c:pt>
              <c:pt idx="201">
                <c:v>41548</c:v>
              </c:pt>
              <c:pt idx="202">
                <c:v>41579</c:v>
              </c:pt>
              <c:pt idx="203">
                <c:v>41609</c:v>
              </c:pt>
              <c:pt idx="204">
                <c:v>41640</c:v>
              </c:pt>
              <c:pt idx="205">
                <c:v>41671</c:v>
              </c:pt>
              <c:pt idx="206">
                <c:v>41699</c:v>
              </c:pt>
              <c:pt idx="207">
                <c:v>41730</c:v>
              </c:pt>
              <c:pt idx="208">
                <c:v>41760</c:v>
              </c:pt>
              <c:pt idx="209">
                <c:v>41791</c:v>
              </c:pt>
              <c:pt idx="210">
                <c:v>41821</c:v>
              </c:pt>
              <c:pt idx="211">
                <c:v>41852</c:v>
              </c:pt>
              <c:pt idx="212">
                <c:v>41883</c:v>
              </c:pt>
              <c:pt idx="213">
                <c:v>41913</c:v>
              </c:pt>
              <c:pt idx="214">
                <c:v>41944</c:v>
              </c:pt>
              <c:pt idx="215">
                <c:v>41974</c:v>
              </c:pt>
              <c:pt idx="216">
                <c:v>42005</c:v>
              </c:pt>
              <c:pt idx="217">
                <c:v>42036</c:v>
              </c:pt>
              <c:pt idx="218">
                <c:v>42064</c:v>
              </c:pt>
              <c:pt idx="219">
                <c:v>42095</c:v>
              </c:pt>
              <c:pt idx="220">
                <c:v>42125</c:v>
              </c:pt>
              <c:pt idx="221">
                <c:v>42156</c:v>
              </c:pt>
              <c:pt idx="222">
                <c:v>42186</c:v>
              </c:pt>
              <c:pt idx="223">
                <c:v>42217</c:v>
              </c:pt>
              <c:pt idx="224">
                <c:v>42248</c:v>
              </c:pt>
              <c:pt idx="225">
                <c:v>42278</c:v>
              </c:pt>
              <c:pt idx="226">
                <c:v>42309</c:v>
              </c:pt>
              <c:pt idx="227">
                <c:v>42339</c:v>
              </c:pt>
              <c:pt idx="228">
                <c:v>42370</c:v>
              </c:pt>
              <c:pt idx="229">
                <c:v>42401</c:v>
              </c:pt>
              <c:pt idx="230">
                <c:v>42430</c:v>
              </c:pt>
              <c:pt idx="231">
                <c:v>42461</c:v>
              </c:pt>
              <c:pt idx="232">
                <c:v>42491</c:v>
              </c:pt>
              <c:pt idx="233">
                <c:v>42522</c:v>
              </c:pt>
              <c:pt idx="234">
                <c:v>42552</c:v>
              </c:pt>
              <c:pt idx="235">
                <c:v>42583</c:v>
              </c:pt>
              <c:pt idx="236">
                <c:v>42614</c:v>
              </c:pt>
              <c:pt idx="237">
                <c:v>42644</c:v>
              </c:pt>
              <c:pt idx="238">
                <c:v>42675</c:v>
              </c:pt>
              <c:pt idx="239">
                <c:v>42705</c:v>
              </c:pt>
              <c:pt idx="240">
                <c:v>42736</c:v>
              </c:pt>
              <c:pt idx="241">
                <c:v>42767</c:v>
              </c:pt>
              <c:pt idx="242">
                <c:v>42795</c:v>
              </c:pt>
              <c:pt idx="243">
                <c:v>42826</c:v>
              </c:pt>
              <c:pt idx="244">
                <c:v>42856</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ser>
        <c:dLbls>
          <c:showLegendKey val="0"/>
          <c:showVal val="0"/>
          <c:showCatName val="0"/>
          <c:showSerName val="0"/>
          <c:showPercent val="0"/>
          <c:showBubbleSize val="0"/>
        </c:dLbls>
        <c:axId val="1076641768"/>
        <c:axId val="1076642160"/>
      </c:scatterChart>
      <c:valAx>
        <c:axId val="1076641768"/>
        <c:scaling>
          <c:orientation val="minMax"/>
          <c:min val="35431"/>
        </c:scaling>
        <c:delete val="0"/>
        <c:axPos val="b"/>
        <c:majorGridlines>
          <c:spPr>
            <a:ln w="3175">
              <a:solidFill>
                <a:srgbClr val="C8C8C8"/>
              </a:solidFill>
              <a:prstDash val="solid"/>
            </a:ln>
          </c:spPr>
        </c:majorGridlines>
        <c:numFmt formatCode="mm\-yyyy"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076642160"/>
        <c:crossesAt val="-100000000"/>
        <c:crossBetween val="midCat"/>
      </c:valAx>
      <c:valAx>
        <c:axId val="1076642160"/>
        <c:scaling>
          <c:orientation val="minMax"/>
          <c:min val="11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076641768"/>
        <c:crossesAt val="35431"/>
        <c:crossBetween val="midCat"/>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vs.
Y
r = 0.703,  r-squared = 0.495</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161.771428571429</c:v>
              </c:pt>
            </c:numLit>
          </c:xVal>
          <c:yVal>
            <c:numLit>
              <c:formatCode>General</c:formatCode>
              <c:ptCount val="1"/>
              <c:pt idx="0">
                <c:v>35.991836734693898</c:v>
              </c:pt>
            </c:numLit>
          </c:yVal>
          <c:smooth val="0"/>
        </c:ser>
        <c:dLbls>
          <c:showLegendKey val="0"/>
          <c:showVal val="0"/>
          <c:showCatName val="0"/>
          <c:showSerName val="0"/>
          <c:showPercent val="0"/>
          <c:showBubbleSize val="0"/>
        </c:dLbls>
        <c:axId val="1103571160"/>
        <c:axId val="1103568808"/>
      </c:scatterChart>
      <c:valAx>
        <c:axId val="1103571160"/>
        <c:scaling>
          <c:orientation val="minMax"/>
          <c:max val="203"/>
          <c:min val="11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68808"/>
        <c:crossesAt val="4"/>
        <c:crossBetween val="midCat"/>
        <c:majorUnit val="44.5"/>
      </c:valAx>
      <c:valAx>
        <c:axId val="1103568808"/>
        <c:scaling>
          <c:orientation val="minMax"/>
          <c:max val="66"/>
          <c:min val="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71160"/>
        <c:crossesAt val="114"/>
        <c:crossBetween val="midCat"/>
        <c:majorUnit val="31"/>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vs.
X_1
r = 1.000,  r-squared = 1.000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35.991836734693898</c:v>
              </c:pt>
            </c:numLit>
          </c:xVal>
          <c:yVal>
            <c:numLit>
              <c:formatCode>General</c:formatCode>
              <c:ptCount val="1"/>
              <c:pt idx="0">
                <c:v>35.991836734693898</c:v>
              </c:pt>
            </c:numLit>
          </c:yVal>
          <c:smooth val="0"/>
        </c:ser>
        <c:dLbls>
          <c:showLegendKey val="0"/>
          <c:showVal val="0"/>
          <c:showCatName val="0"/>
          <c:showSerName val="0"/>
          <c:showPercent val="0"/>
          <c:showBubbleSize val="0"/>
        </c:dLbls>
        <c:axId val="1103550384"/>
        <c:axId val="1103567632"/>
      </c:scatterChart>
      <c:valAx>
        <c:axId val="1103550384"/>
        <c:scaling>
          <c:orientation val="minMax"/>
          <c:max val="66"/>
          <c:min val="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67632"/>
        <c:crossesAt val="4"/>
        <c:crossBetween val="midCat"/>
        <c:majorUnit val="31"/>
      </c:valAx>
      <c:valAx>
        <c:axId val="1103567632"/>
        <c:scaling>
          <c:orientation val="minMax"/>
          <c:max val="66"/>
          <c:min val="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50384"/>
        <c:crossesAt val="4"/>
        <c:crossBetween val="midCat"/>
        <c:majorUnit val="31"/>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vs.
X_2
r = 0.050,  r-squared = 0.002</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1.22448979591837</c:v>
              </c:pt>
            </c:numLit>
          </c:xVal>
          <c:yVal>
            <c:numLit>
              <c:formatCode>General</c:formatCode>
              <c:ptCount val="1"/>
              <c:pt idx="0">
                <c:v>35.991836734693898</c:v>
              </c:pt>
            </c:numLit>
          </c:yVal>
          <c:smooth val="0"/>
        </c:ser>
        <c:dLbls>
          <c:showLegendKey val="0"/>
          <c:showVal val="0"/>
          <c:showCatName val="0"/>
          <c:showSerName val="0"/>
          <c:showPercent val="0"/>
          <c:showBubbleSize val="0"/>
        </c:dLbls>
        <c:axId val="1103553520"/>
        <c:axId val="1103570376"/>
      </c:scatterChart>
      <c:valAx>
        <c:axId val="1103553520"/>
        <c:scaling>
          <c:orientation val="minMax"/>
          <c:max val="28"/>
          <c:min val="-25"/>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70376"/>
        <c:crossesAt val="4"/>
        <c:crossBetween val="midCat"/>
        <c:majorUnit val="26.5"/>
      </c:valAx>
      <c:valAx>
        <c:axId val="1103570376"/>
        <c:scaling>
          <c:orientation val="minMax"/>
          <c:max val="66"/>
          <c:min val="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53520"/>
        <c:crossesAt val="-25"/>
        <c:crossBetween val="midCat"/>
        <c:majorUnit val="31"/>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vs.
Y
r = -0.017,  r-squared = 0.000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161.771428571429</c:v>
              </c:pt>
            </c:numLit>
          </c:xVal>
          <c:yVal>
            <c:numLit>
              <c:formatCode>General</c:formatCode>
              <c:ptCount val="1"/>
              <c:pt idx="0">
                <c:v>1.22448979591837</c:v>
              </c:pt>
            </c:numLit>
          </c:yVal>
          <c:smooth val="0"/>
        </c:ser>
        <c:dLbls>
          <c:showLegendKey val="0"/>
          <c:showVal val="0"/>
          <c:showCatName val="0"/>
          <c:showSerName val="0"/>
          <c:showPercent val="0"/>
          <c:showBubbleSize val="0"/>
        </c:dLbls>
        <c:axId val="1103569200"/>
        <c:axId val="1103566848"/>
      </c:scatterChart>
      <c:valAx>
        <c:axId val="1103569200"/>
        <c:scaling>
          <c:orientation val="minMax"/>
          <c:max val="203"/>
          <c:min val="11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66848"/>
        <c:crossesAt val="-25"/>
        <c:crossBetween val="midCat"/>
        <c:majorUnit val="44.5"/>
      </c:valAx>
      <c:valAx>
        <c:axId val="1103566848"/>
        <c:scaling>
          <c:orientation val="minMax"/>
          <c:max val="28"/>
          <c:min val="-25"/>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69200"/>
        <c:crossesAt val="114"/>
        <c:crossBetween val="midCat"/>
        <c:majorUnit val="26.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vs.
X_1
r = 0.050,  r-squared = 0.002</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35.991836734693898</c:v>
              </c:pt>
            </c:numLit>
          </c:xVal>
          <c:yVal>
            <c:numLit>
              <c:formatCode>General</c:formatCode>
              <c:ptCount val="1"/>
              <c:pt idx="0">
                <c:v>1.22448979591837</c:v>
              </c:pt>
            </c:numLit>
          </c:yVal>
          <c:smooth val="0"/>
        </c:ser>
        <c:dLbls>
          <c:showLegendKey val="0"/>
          <c:showVal val="0"/>
          <c:showCatName val="0"/>
          <c:showSerName val="0"/>
          <c:showPercent val="0"/>
          <c:showBubbleSize val="0"/>
        </c:dLbls>
        <c:axId val="1103549208"/>
        <c:axId val="1103548816"/>
      </c:scatterChart>
      <c:valAx>
        <c:axId val="1103549208"/>
        <c:scaling>
          <c:orientation val="minMax"/>
          <c:max val="66"/>
          <c:min val="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48816"/>
        <c:crossesAt val="-25"/>
        <c:crossBetween val="midCat"/>
        <c:majorUnit val="31"/>
      </c:valAx>
      <c:valAx>
        <c:axId val="1103548816"/>
        <c:scaling>
          <c:orientation val="minMax"/>
          <c:max val="28"/>
          <c:min val="-25"/>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49208"/>
        <c:crossesAt val="4"/>
        <c:crossBetween val="midCat"/>
        <c:majorUnit val="26.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vs.
X_2
r = 1.000,  r-squared = 1.000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1.22448979591837</c:v>
              </c:pt>
            </c:numLit>
          </c:xVal>
          <c:yVal>
            <c:numLit>
              <c:formatCode>General</c:formatCode>
              <c:ptCount val="1"/>
              <c:pt idx="0">
                <c:v>1.22448979591837</c:v>
              </c:pt>
            </c:numLit>
          </c:yVal>
          <c:smooth val="0"/>
        </c:ser>
        <c:dLbls>
          <c:showLegendKey val="0"/>
          <c:showVal val="0"/>
          <c:showCatName val="0"/>
          <c:showSerName val="0"/>
          <c:showPercent val="0"/>
          <c:showBubbleSize val="0"/>
        </c:dLbls>
        <c:axId val="1103548032"/>
        <c:axId val="1103547640"/>
      </c:scatterChart>
      <c:valAx>
        <c:axId val="1103548032"/>
        <c:scaling>
          <c:orientation val="minMax"/>
          <c:max val="28"/>
          <c:min val="-25"/>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47640"/>
        <c:crossesAt val="-25"/>
        <c:crossBetween val="midCat"/>
        <c:majorUnit val="26.5"/>
      </c:valAx>
      <c:valAx>
        <c:axId val="1103547640"/>
        <c:scaling>
          <c:orientation val="minMax"/>
          <c:max val="28"/>
          <c:min val="-25"/>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48032"/>
        <c:crossesAt val="-25"/>
        <c:crossBetween val="midCat"/>
        <c:majorUnit val="26.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a:t>Model 2.0 for Y    (1 variable, n=245)
Predicted Y = 129.438 + 0.898*X_1</a:t>
            </a:r>
          </a:p>
        </c:rich>
      </c:tx>
      <c:overlay val="0"/>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ser>
        <c:dLbls>
          <c:showLegendKey val="0"/>
          <c:showVal val="0"/>
          <c:showCatName val="0"/>
          <c:showSerName val="0"/>
          <c:showPercent val="0"/>
          <c:showBubbleSize val="0"/>
        </c:dLbls>
        <c:axId val="1103547248"/>
        <c:axId val="1103546464"/>
      </c:scatterChart>
      <c:scatterChart>
        <c:scatterStyle val="lineMarker"/>
        <c:varyColors val="0"/>
        <c:ser>
          <c:idx val="1"/>
          <c:order val="1"/>
          <c:tx>
            <c:strRef>
              <c:f>'Model 2.0'!$G$25</c:f>
              <c:strCache>
                <c:ptCount val="1"/>
                <c:pt idx="0">
                  <c:v>Upper 95%</c:v>
                </c:pt>
              </c:strCache>
            </c:strRef>
          </c:tx>
          <c:spPr>
            <a:ln w="12700">
              <a:solidFill>
                <a:srgbClr val="FF0000"/>
              </a:solidFill>
              <a:prstDash val="sysDash"/>
            </a:ln>
          </c:spPr>
          <c:marker>
            <c:symbol val="none"/>
          </c:marker>
          <c:xVal>
            <c:numRef>
              <c:f>'Model 2.0'!$B$26:$B$30</c:f>
              <c:numCache>
                <c:formatCode>#,##0.000</c:formatCode>
                <c:ptCount val="5"/>
                <c:pt idx="0">
                  <c:v>4</c:v>
                </c:pt>
                <c:pt idx="1">
                  <c:v>19.5</c:v>
                </c:pt>
                <c:pt idx="2">
                  <c:v>35</c:v>
                </c:pt>
                <c:pt idx="3">
                  <c:v>50.5</c:v>
                </c:pt>
                <c:pt idx="4">
                  <c:v>66</c:v>
                </c:pt>
              </c:numCache>
            </c:numRef>
          </c:xVal>
          <c:yVal>
            <c:numRef>
              <c:f>'Model 2.0'!$G$26:$G$30</c:f>
              <c:numCache>
                <c:formatCode>#,##0.000</c:formatCode>
                <c:ptCount val="5"/>
                <c:pt idx="0">
                  <c:v>151.64208645157402</c:v>
                </c:pt>
                <c:pt idx="1">
                  <c:v>165.29901810896604</c:v>
                </c:pt>
                <c:pt idx="2">
                  <c:v>179.12600126293307</c:v>
                </c:pt>
                <c:pt idx="3">
                  <c:v>193.1257485809268</c:v>
                </c:pt>
                <c:pt idx="4">
                  <c:v>207.29615673005728</c:v>
                </c:pt>
              </c:numCache>
            </c:numRef>
          </c:yVal>
          <c:smooth val="1"/>
        </c:ser>
        <c:ser>
          <c:idx val="2"/>
          <c:order val="2"/>
          <c:tx>
            <c:strRef>
              <c:f>'Model 2.0'!$E$25</c:f>
              <c:strCache>
                <c:ptCount val="1"/>
                <c:pt idx="0">
                  <c:v>Predicted</c:v>
                </c:pt>
              </c:strCache>
            </c:strRef>
          </c:tx>
          <c:spPr>
            <a:ln w="15875">
              <a:solidFill>
                <a:srgbClr val="FF0000"/>
              </a:solidFill>
              <a:prstDash val="solid"/>
            </a:ln>
          </c:spPr>
          <c:marker>
            <c:symbol val="none"/>
          </c:marker>
          <c:xVal>
            <c:numRef>
              <c:f>'Model 2.0'!$B$26:$B$30</c:f>
              <c:numCache>
                <c:formatCode>#,##0.000</c:formatCode>
                <c:ptCount val="5"/>
                <c:pt idx="0">
                  <c:v>4</c:v>
                </c:pt>
                <c:pt idx="1">
                  <c:v>19.5</c:v>
                </c:pt>
                <c:pt idx="2">
                  <c:v>35</c:v>
                </c:pt>
                <c:pt idx="3">
                  <c:v>50.5</c:v>
                </c:pt>
                <c:pt idx="4">
                  <c:v>66</c:v>
                </c:pt>
              </c:numCache>
            </c:numRef>
          </c:xVal>
          <c:yVal>
            <c:numRef>
              <c:f>'Model 2.0'!$E$26:$E$30</c:f>
              <c:numCache>
                <c:formatCode>#,##0.000</c:formatCode>
                <c:ptCount val="5"/>
                <c:pt idx="0">
                  <c:v>133.03162457763585</c:v>
                </c:pt>
                <c:pt idx="1">
                  <c:v>146.95601927863436</c:v>
                </c:pt>
                <c:pt idx="2">
                  <c:v>160.88041397963286</c:v>
                </c:pt>
                <c:pt idx="3">
                  <c:v>174.80480868063137</c:v>
                </c:pt>
                <c:pt idx="4">
                  <c:v>188.72920338162987</c:v>
                </c:pt>
              </c:numCache>
            </c:numRef>
          </c:yVal>
          <c:smooth val="0"/>
        </c:ser>
        <c:ser>
          <c:idx val="3"/>
          <c:order val="3"/>
          <c:tx>
            <c:strRef>
              <c:f>'Model 2.0'!$F$25</c:f>
              <c:strCache>
                <c:ptCount val="1"/>
                <c:pt idx="0">
                  <c:v>Lower 95%</c:v>
                </c:pt>
              </c:strCache>
            </c:strRef>
          </c:tx>
          <c:spPr>
            <a:ln w="12700">
              <a:solidFill>
                <a:srgbClr val="FF0000"/>
              </a:solidFill>
              <a:prstDash val="sysDash"/>
            </a:ln>
          </c:spPr>
          <c:marker>
            <c:symbol val="none"/>
          </c:marker>
          <c:xVal>
            <c:numRef>
              <c:f>'Model 2.0'!$B$26:$B$30</c:f>
              <c:numCache>
                <c:formatCode>#,##0.000</c:formatCode>
                <c:ptCount val="5"/>
                <c:pt idx="0">
                  <c:v>4</c:v>
                </c:pt>
                <c:pt idx="1">
                  <c:v>19.5</c:v>
                </c:pt>
                <c:pt idx="2">
                  <c:v>35</c:v>
                </c:pt>
                <c:pt idx="3">
                  <c:v>50.5</c:v>
                </c:pt>
                <c:pt idx="4">
                  <c:v>66</c:v>
                </c:pt>
              </c:numCache>
            </c:numRef>
          </c:xVal>
          <c:yVal>
            <c:numRef>
              <c:f>'Model 2.0'!$F$26:$F$30</c:f>
              <c:numCache>
                <c:formatCode>#,##0.000</c:formatCode>
                <c:ptCount val="5"/>
                <c:pt idx="0">
                  <c:v>114.4211627036977</c:v>
                </c:pt>
                <c:pt idx="1">
                  <c:v>128.61302044830268</c:v>
                </c:pt>
                <c:pt idx="2">
                  <c:v>142.63482669633265</c:v>
                </c:pt>
                <c:pt idx="3">
                  <c:v>156.48386878033594</c:v>
                </c:pt>
                <c:pt idx="4">
                  <c:v>170.16225003320247</c:v>
                </c:pt>
              </c:numCache>
            </c:numRef>
          </c:yVal>
          <c:smooth val="1"/>
        </c:ser>
        <c:dLbls>
          <c:showLegendKey val="0"/>
          <c:showVal val="0"/>
          <c:showCatName val="0"/>
          <c:showSerName val="0"/>
          <c:showPercent val="0"/>
          <c:showBubbleSize val="0"/>
        </c:dLbls>
        <c:axId val="1103545680"/>
        <c:axId val="1103546072"/>
      </c:scatterChart>
      <c:valAx>
        <c:axId val="1103547248"/>
        <c:scaling>
          <c:orientation val="minMax"/>
          <c:min val="0"/>
        </c:scaling>
        <c:delete val="0"/>
        <c:axPos val="b"/>
        <c:title>
          <c:tx>
            <c:rich>
              <a:bodyPr/>
              <a:lstStyle/>
              <a:p>
                <a:pPr>
                  <a:defRPr/>
                </a:pPr>
                <a:r>
                  <a:rPr lang="en-US"/>
                  <a:t>X_1</a:t>
                </a:r>
              </a:p>
            </c:rich>
          </c:tx>
          <c:overlay val="0"/>
        </c:title>
        <c:numFmt formatCode="General" sourceLinked="1"/>
        <c:majorTickMark val="out"/>
        <c:minorTickMark val="none"/>
        <c:tickLblPos val="nextTo"/>
        <c:crossAx val="1103546464"/>
        <c:crossesAt val="110"/>
        <c:crossBetween val="midCat"/>
      </c:valAx>
      <c:valAx>
        <c:axId val="1103546464"/>
        <c:scaling>
          <c:orientation val="minMax"/>
          <c:min val="110"/>
        </c:scaling>
        <c:delete val="0"/>
        <c:axPos val="l"/>
        <c:majorGridlines>
          <c:spPr>
            <a:ln w="3175">
              <a:solidFill>
                <a:srgbClr val="C0C0C0"/>
              </a:solidFill>
              <a:prstDash val="solid"/>
            </a:ln>
          </c:spPr>
        </c:majorGridlines>
        <c:numFmt formatCode="General" sourceLinked="1"/>
        <c:majorTickMark val="out"/>
        <c:minorTickMark val="none"/>
        <c:tickLblPos val="nextTo"/>
        <c:crossAx val="1103547248"/>
        <c:crossesAt val="0"/>
        <c:crossBetween val="midCat"/>
      </c:valAx>
      <c:valAx>
        <c:axId val="1103546072"/>
        <c:scaling>
          <c:orientation val="minMax"/>
          <c:min val="110"/>
        </c:scaling>
        <c:delete val="1"/>
        <c:axPos val="r"/>
        <c:numFmt formatCode="#,##0.000" sourceLinked="1"/>
        <c:majorTickMark val="out"/>
        <c:minorTickMark val="none"/>
        <c:tickLblPos val="nextTo"/>
        <c:crossAx val="1103545680"/>
        <c:crosses val="max"/>
        <c:crossBetween val="midCat"/>
      </c:valAx>
      <c:valAx>
        <c:axId val="1103545680"/>
        <c:scaling>
          <c:orientation val="minMax"/>
        </c:scaling>
        <c:delete val="1"/>
        <c:axPos val="b"/>
        <c:numFmt formatCode="#,##0.000" sourceLinked="1"/>
        <c:majorTickMark val="out"/>
        <c:minorTickMark val="none"/>
        <c:tickLblPos val="nextTo"/>
        <c:crossAx val="1103546072"/>
        <c:crosses val="autoZero"/>
        <c:crossBetween val="midCat"/>
      </c:valAx>
      <c:spPr>
        <a:ln w="6350">
          <a:solidFill>
            <a:srgbClr val="808080"/>
          </a:solidFill>
          <a:prstDash val="solid"/>
        </a:ln>
      </c:spPr>
    </c:plotArea>
    <c:legend>
      <c:legendPos val="r"/>
      <c:overlay val="0"/>
    </c:legend>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2.0'!$AA$2</c:f>
          <c:strCache>
            <c:ptCount val="1"/>
            <c:pt idx="0">
              <c:v>Forecasts and 95.0% confidence limits for means and forecasts
Model 2.0 for Y    (1 variable, n=245)</c:v>
            </c:pt>
          </c:strCache>
        </c:strRef>
      </c:tx>
      <c:overlay val="0"/>
      <c:txPr>
        <a:bodyPr/>
        <a:lstStyle/>
        <a:p>
          <a:pPr>
            <a:defRPr sz="1000"/>
          </a:pPr>
          <a:endParaRPr lang="en-US"/>
        </a:p>
      </c:txPr>
    </c:title>
    <c:autoTitleDeleted val="0"/>
    <c:plotArea>
      <c:layout/>
      <c:lineChart>
        <c:grouping val="standard"/>
        <c:varyColors val="0"/>
        <c:ser>
          <c:idx val="0"/>
          <c:order val="0"/>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plus>
            <c:min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minus>
          </c:errBars>
          <c:cat>
            <c:numRef>
              <c:f>'Model 2.0'!$A$52:$A$56</c:f>
              <c:numCache>
                <c:formatCode>0</c:formatCode>
                <c:ptCount val="5"/>
                <c:pt idx="0">
                  <c:v>246</c:v>
                </c:pt>
                <c:pt idx="1">
                  <c:v>247</c:v>
                </c:pt>
                <c:pt idx="2">
                  <c:v>248</c:v>
                </c:pt>
                <c:pt idx="3">
                  <c:v>249</c:v>
                </c:pt>
                <c:pt idx="4">
                  <c:v>250</c:v>
                </c:pt>
              </c:numCache>
            </c:numRef>
          </c:cat>
          <c:val>
            <c:numRef>
              <c:f>'Model 2.0'!$B$52:$B$56</c:f>
              <c:numCache>
                <c:formatCode>#,##0.000</c:formatCode>
                <c:ptCount val="5"/>
                <c:pt idx="0">
                  <c:v>166.27050225098753</c:v>
                </c:pt>
                <c:pt idx="1">
                  <c:v>161.77876202485896</c:v>
                </c:pt>
                <c:pt idx="2">
                  <c:v>160.88041397963326</c:v>
                </c:pt>
                <c:pt idx="3">
                  <c:v>170.76224247711608</c:v>
                </c:pt>
                <c:pt idx="4">
                  <c:v>153.69362961782758</c:v>
                </c:pt>
              </c:numCache>
            </c:numRef>
          </c:val>
          <c:smooth val="0"/>
        </c:ser>
        <c:ser>
          <c:idx val="1"/>
          <c:order val="1"/>
          <c:tx>
            <c:strRef>
              <c:f>'Model 2.0'!$H$51</c:f>
              <c:strCache>
                <c:ptCount val="1"/>
                <c:pt idx="0">
                  <c:v>Upper95%M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ED7D31"/>
                    </a:solidFill>
                  </a14:hiddenFill>
                </a:ext>
              </a:extLst>
            </c:spPr>
          </c:marker>
          <c:cat>
            <c:numRef>
              <c:f>'Model 2.0'!$A$52:$A$56</c:f>
              <c:numCache>
                <c:formatCode>0</c:formatCode>
                <c:ptCount val="5"/>
                <c:pt idx="0">
                  <c:v>246</c:v>
                </c:pt>
                <c:pt idx="1">
                  <c:v>247</c:v>
                </c:pt>
                <c:pt idx="2">
                  <c:v>248</c:v>
                </c:pt>
                <c:pt idx="3">
                  <c:v>249</c:v>
                </c:pt>
                <c:pt idx="4">
                  <c:v>250</c:v>
                </c:pt>
              </c:numCache>
            </c:numRef>
          </c:cat>
          <c:val>
            <c:numRef>
              <c:f>'Model 2.0'!$H$52:$H$56</c:f>
              <c:numCache>
                <c:formatCode>0.000</c:formatCode>
                <c:ptCount val="5"/>
                <c:pt idx="0">
                  <c:v>167.56783789545591</c:v>
                </c:pt>
                <c:pt idx="1">
                  <c:v>162.94203595251676</c:v>
                </c:pt>
                <c:pt idx="2">
                  <c:v>162.04923539488314</c:v>
                </c:pt>
                <c:pt idx="3">
                  <c:v>172.39642519046265</c:v>
                </c:pt>
                <c:pt idx="4">
                  <c:v>155.24816665664332</c:v>
                </c:pt>
              </c:numCache>
            </c:numRef>
          </c:val>
          <c:smooth val="0"/>
        </c:ser>
        <c:ser>
          <c:idx val="2"/>
          <c:order val="2"/>
          <c:tx>
            <c:strRef>
              <c:f>'Model 2.0'!$G$51</c:f>
              <c:strCache>
                <c:ptCount val="1"/>
                <c:pt idx="0">
                  <c:v>Lower95%M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A5A5A5"/>
                    </a:solidFill>
                  </a14:hiddenFill>
                </a:ext>
              </a:extLst>
            </c:spPr>
          </c:marker>
          <c:cat>
            <c:numRef>
              <c:f>'Model 2.0'!$A$52:$A$56</c:f>
              <c:numCache>
                <c:formatCode>0</c:formatCode>
                <c:ptCount val="5"/>
                <c:pt idx="0">
                  <c:v>246</c:v>
                </c:pt>
                <c:pt idx="1">
                  <c:v>247</c:v>
                </c:pt>
                <c:pt idx="2">
                  <c:v>248</c:v>
                </c:pt>
                <c:pt idx="3">
                  <c:v>249</c:v>
                </c:pt>
                <c:pt idx="4">
                  <c:v>250</c:v>
                </c:pt>
              </c:numCache>
            </c:numRef>
          </c:cat>
          <c:val>
            <c:numRef>
              <c:f>'Model 2.0'!$G$52:$G$56</c:f>
              <c:numCache>
                <c:formatCode>0.000</c:formatCode>
                <c:ptCount val="5"/>
                <c:pt idx="0">
                  <c:v>164.97316660651916</c:v>
                </c:pt>
                <c:pt idx="1">
                  <c:v>160.61548809720117</c:v>
                </c:pt>
                <c:pt idx="2">
                  <c:v>159.71159256438338</c:v>
                </c:pt>
                <c:pt idx="3">
                  <c:v>169.1280597637695</c:v>
                </c:pt>
                <c:pt idx="4">
                  <c:v>152.13909257901184</c:v>
                </c:pt>
              </c:numCache>
            </c:numRef>
          </c:val>
          <c:smooth val="0"/>
        </c:ser>
        <c:dLbls>
          <c:showLegendKey val="0"/>
          <c:showVal val="0"/>
          <c:showCatName val="0"/>
          <c:showSerName val="0"/>
          <c:showPercent val="0"/>
          <c:showBubbleSize val="0"/>
        </c:dLbls>
        <c:marker val="1"/>
        <c:smooth val="0"/>
        <c:axId val="1103544896"/>
        <c:axId val="1103544504"/>
      </c:lineChart>
      <c:catAx>
        <c:axId val="1103544896"/>
        <c:scaling>
          <c:orientation val="minMax"/>
        </c:scaling>
        <c:delete val="0"/>
        <c:axPos val="b"/>
        <c:numFmt formatCode="0" sourceLinked="1"/>
        <c:majorTickMark val="out"/>
        <c:minorTickMark val="none"/>
        <c:tickLblPos val="nextTo"/>
        <c:crossAx val="1103544504"/>
        <c:crossesAt val="130"/>
        <c:auto val="1"/>
        <c:lblAlgn val="ctr"/>
        <c:lblOffset val="100"/>
        <c:noMultiLvlLbl val="0"/>
      </c:catAx>
      <c:valAx>
        <c:axId val="1103544504"/>
        <c:scaling>
          <c:orientation val="minMax"/>
          <c:min val="130"/>
        </c:scaling>
        <c:delete val="0"/>
        <c:axPos val="l"/>
        <c:majorGridlines>
          <c:spPr>
            <a:ln w="3175">
              <a:solidFill>
                <a:srgbClr val="C0C0C0"/>
              </a:solidFill>
              <a:prstDash val="solid"/>
            </a:ln>
          </c:spPr>
        </c:majorGridlines>
        <c:numFmt formatCode="General" sourceLinked="0"/>
        <c:majorTickMark val="out"/>
        <c:minorTickMark val="none"/>
        <c:tickLblPos val="nextTo"/>
        <c:crossAx val="1103544896"/>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Calibri"/>
          <a:ea typeface="Calibri"/>
          <a:cs typeface="Calibri"/>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2.0'!$AA$3</c:f>
          <c:strCache>
            <c:ptCount val="1"/>
            <c:pt idx="0">
              <c:v>Actual and Predicted -vs- Observation # with 95.0% confidence limits
Model 2.0 for Y    (1 variable, n=245)</c:v>
            </c:pt>
          </c:strCache>
        </c:strRef>
      </c:tx>
      <c:overlay val="0"/>
      <c:txPr>
        <a:bodyPr/>
        <a:lstStyle/>
        <a:p>
          <a:pPr>
            <a:defRPr sz="1000">
              <a:latin typeface="Calibri"/>
              <a:ea typeface="Calibri"/>
              <a:cs typeface="Calibri"/>
            </a:defRPr>
          </a:pPr>
          <a:endParaRPr lang="en-US"/>
        </a:p>
      </c:txPr>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ser>
        <c:ser>
          <c:idx val="1"/>
          <c:order val="1"/>
          <c:tx>
            <c:v>Predicted</c:v>
          </c:tx>
          <c:spPr>
            <a:ln w="25400">
              <a:noFill/>
            </a:ln>
          </c:spPr>
          <c:marker>
            <c:symbol val="circle"/>
            <c:size val="5"/>
            <c:spPr>
              <a:noFill/>
              <a:ln w="9525">
                <a:solidFill>
                  <a:srgbClr val="FF0000"/>
                </a:solidFill>
                <a:prstDash val="solid"/>
              </a:ln>
            </c:spPr>
          </c:marker>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152.79528157260188</c:v>
              </c:pt>
              <c:pt idx="1">
                <c:v>168.06719834143894</c:v>
              </c:pt>
              <c:pt idx="2">
                <c:v>153.69362961782758</c:v>
              </c:pt>
              <c:pt idx="3">
                <c:v>160.88041397963326</c:v>
              </c:pt>
              <c:pt idx="4">
                <c:v>155.49032570827902</c:v>
              </c:pt>
              <c:pt idx="5">
                <c:v>151.89693352737618</c:v>
              </c:pt>
              <c:pt idx="6">
                <c:v>161.77876202485896</c:v>
              </c:pt>
              <c:pt idx="7">
                <c:v>168.06719834143894</c:v>
              </c:pt>
              <c:pt idx="8">
                <c:v>158.18536984395615</c:v>
              </c:pt>
              <c:pt idx="9">
                <c:v>167.16885029621324</c:v>
              </c:pt>
              <c:pt idx="10">
                <c:v>171.66059052234181</c:v>
              </c:pt>
              <c:pt idx="11">
                <c:v>153.69362961782758</c:v>
              </c:pt>
              <c:pt idx="12">
                <c:v>170.76224247711608</c:v>
              </c:pt>
              <c:pt idx="13">
                <c:v>168.96554638666467</c:v>
              </c:pt>
              <c:pt idx="14">
                <c:v>174.35563465801891</c:v>
              </c:pt>
              <c:pt idx="15">
                <c:v>153.69362961782758</c:v>
              </c:pt>
              <c:pt idx="16">
                <c:v>160.88041397963326</c:v>
              </c:pt>
              <c:pt idx="17">
                <c:v>159.98206593440756</c:v>
              </c:pt>
              <c:pt idx="18">
                <c:v>168.06719834143894</c:v>
              </c:pt>
              <c:pt idx="19">
                <c:v>143.81180112034477</c:v>
              </c:pt>
              <c:pt idx="20">
                <c:v>169.86389443189037</c:v>
              </c:pt>
              <c:pt idx="21">
                <c:v>153.69362961782758</c:v>
              </c:pt>
              <c:pt idx="22">
                <c:v>188.72920338163027</c:v>
              </c:pt>
              <c:pt idx="23">
                <c:v>150.10023743692474</c:v>
              </c:pt>
              <c:pt idx="24">
                <c:v>134.82832066808768</c:v>
              </c:pt>
              <c:pt idx="25">
                <c:v>153.69362961782758</c:v>
              </c:pt>
              <c:pt idx="26">
                <c:v>161.77876202485896</c:v>
              </c:pt>
              <c:pt idx="27">
                <c:v>166.27050225098753</c:v>
              </c:pt>
              <c:pt idx="28">
                <c:v>161.77876202485896</c:v>
              </c:pt>
              <c:pt idx="29">
                <c:v>170.76224247711608</c:v>
              </c:pt>
              <c:pt idx="30">
                <c:v>167.16885029621324</c:v>
              </c:pt>
              <c:pt idx="31">
                <c:v>169.86389443189037</c:v>
              </c:pt>
              <c:pt idx="32">
                <c:v>164.4738061605361</c:v>
              </c:pt>
              <c:pt idx="33">
                <c:v>159.98206593440756</c:v>
              </c:pt>
              <c:pt idx="34">
                <c:v>169.86389443189037</c:v>
              </c:pt>
              <c:pt idx="35">
                <c:v>153.69362961782758</c:v>
              </c:pt>
              <c:pt idx="36">
                <c:v>150.99858548215045</c:v>
              </c:pt>
              <c:pt idx="37">
                <c:v>160.88041397963326</c:v>
              </c:pt>
              <c:pt idx="38">
                <c:v>160.88041397963326</c:v>
              </c:pt>
              <c:pt idx="39">
                <c:v>169.86389443189037</c:v>
              </c:pt>
              <c:pt idx="40">
                <c:v>159.08371788918186</c:v>
              </c:pt>
              <c:pt idx="41">
                <c:v>166.27050225098753</c:v>
              </c:pt>
              <c:pt idx="42">
                <c:v>161.77876202485896</c:v>
              </c:pt>
              <c:pt idx="43">
                <c:v>160.88041397963326</c:v>
              </c:pt>
              <c:pt idx="44">
                <c:v>145.6084972107962</c:v>
              </c:pt>
              <c:pt idx="45">
                <c:v>161.77876202485896</c:v>
              </c:pt>
              <c:pt idx="46">
                <c:v>154.59197766305329</c:v>
              </c:pt>
              <c:pt idx="47">
                <c:v>160.88041397963326</c:v>
              </c:pt>
              <c:pt idx="48">
                <c:v>157.28702179873042</c:v>
              </c:pt>
              <c:pt idx="49">
                <c:v>172.55893856756751</c:v>
              </c:pt>
              <c:pt idx="50">
                <c:v>168.96554638666467</c:v>
              </c:pt>
              <c:pt idx="51">
                <c:v>168.96554638666467</c:v>
              </c:pt>
              <c:pt idx="52">
                <c:v>160.88041397963326</c:v>
              </c:pt>
              <c:pt idx="53">
                <c:v>173.45728661279321</c:v>
              </c:pt>
              <c:pt idx="54">
                <c:v>170.76224247711608</c:v>
              </c:pt>
              <c:pt idx="55">
                <c:v>155.49032570827902</c:v>
              </c:pt>
              <c:pt idx="56">
                <c:v>165.37215420576183</c:v>
              </c:pt>
              <c:pt idx="57">
                <c:v>175.25398270324462</c:v>
              </c:pt>
              <c:pt idx="58">
                <c:v>165.37215420576183</c:v>
              </c:pt>
              <c:pt idx="59">
                <c:v>163.5754581153104</c:v>
              </c:pt>
              <c:pt idx="60">
                <c:v>165.37215420576183</c:v>
              </c:pt>
              <c:pt idx="61">
                <c:v>175.25398270324462</c:v>
              </c:pt>
              <c:pt idx="62">
                <c:v>163.5754581153104</c:v>
              </c:pt>
              <c:pt idx="63">
                <c:v>166.27050225098753</c:v>
              </c:pt>
              <c:pt idx="64">
                <c:v>150.10023743692474</c:v>
              </c:pt>
              <c:pt idx="65">
                <c:v>161.77876202485896</c:v>
              </c:pt>
              <c:pt idx="66">
                <c:v>145.6084972107962</c:v>
              </c:pt>
              <c:pt idx="67">
                <c:v>159.08371788918186</c:v>
              </c:pt>
              <c:pt idx="68">
                <c:v>164.4738061605361</c:v>
              </c:pt>
              <c:pt idx="69">
                <c:v>157.28702179873042</c:v>
              </c:pt>
              <c:pt idx="70">
                <c:v>161.77876202485896</c:v>
              </c:pt>
              <c:pt idx="71">
                <c:v>142.01510502989336</c:v>
              </c:pt>
              <c:pt idx="72">
                <c:v>158.18536984395615</c:v>
              </c:pt>
              <c:pt idx="73">
                <c:v>155.49032570827902</c:v>
              </c:pt>
              <c:pt idx="74">
                <c:v>168.96554638666467</c:v>
              </c:pt>
              <c:pt idx="75">
                <c:v>167.16885029621324</c:v>
              </c:pt>
              <c:pt idx="76">
                <c:v>157.28702179873042</c:v>
              </c:pt>
              <c:pt idx="77">
                <c:v>149.20188939169904</c:v>
              </c:pt>
              <c:pt idx="78">
                <c:v>155.49032570827902</c:v>
              </c:pt>
              <c:pt idx="79">
                <c:v>165.37215420576183</c:v>
              </c:pt>
              <c:pt idx="80">
                <c:v>178.84737488414748</c:v>
              </c:pt>
              <c:pt idx="81">
                <c:v>166.27050225098753</c:v>
              </c:pt>
              <c:pt idx="82">
                <c:v>176.15233074847035</c:v>
              </c:pt>
              <c:pt idx="83">
                <c:v>169.86389443189037</c:v>
              </c:pt>
              <c:pt idx="84">
                <c:v>171.66059052234181</c:v>
              </c:pt>
              <c:pt idx="85">
                <c:v>162.67711007008469</c:v>
              </c:pt>
              <c:pt idx="86">
                <c:v>149.20188939169904</c:v>
              </c:pt>
              <c:pt idx="87">
                <c:v>171.66059052234181</c:v>
              </c:pt>
              <c:pt idx="88">
                <c:v>159.08371788918186</c:v>
              </c:pt>
              <c:pt idx="89">
                <c:v>163.5754581153104</c:v>
              </c:pt>
              <c:pt idx="90">
                <c:v>154.59197766305329</c:v>
              </c:pt>
              <c:pt idx="91">
                <c:v>167.16885029621324</c:v>
              </c:pt>
              <c:pt idx="92">
                <c:v>143.81180112034477</c:v>
              </c:pt>
              <c:pt idx="93">
                <c:v>168.96554638666467</c:v>
              </c:pt>
              <c:pt idx="94">
                <c:v>160.88041397963326</c:v>
              </c:pt>
              <c:pt idx="95">
                <c:v>166.27050225098753</c:v>
              </c:pt>
              <c:pt idx="96">
                <c:v>143.81180112034477</c:v>
              </c:pt>
              <c:pt idx="97">
                <c:v>174.35563465801891</c:v>
              </c:pt>
              <c:pt idx="98">
                <c:v>173.45728661279321</c:v>
              </c:pt>
              <c:pt idx="99">
                <c:v>156.38867375350472</c:v>
              </c:pt>
              <c:pt idx="100">
                <c:v>160.88041397963326</c:v>
              </c:pt>
              <c:pt idx="101">
                <c:v>177.94902683892175</c:v>
              </c:pt>
              <c:pt idx="102">
                <c:v>164.4738061605361</c:v>
              </c:pt>
              <c:pt idx="103">
                <c:v>157.28702179873042</c:v>
              </c:pt>
              <c:pt idx="104">
                <c:v>176.15233074847035</c:v>
              </c:pt>
              <c:pt idx="105">
                <c:v>181.54241901982459</c:v>
              </c:pt>
              <c:pt idx="106">
                <c:v>159.08371788918186</c:v>
              </c:pt>
              <c:pt idx="107">
                <c:v>160.88041397963326</c:v>
              </c:pt>
              <c:pt idx="108">
                <c:v>164.4738061605361</c:v>
              </c:pt>
              <c:pt idx="109">
                <c:v>159.08371788918186</c:v>
              </c:pt>
              <c:pt idx="110">
                <c:v>163.5754581153104</c:v>
              </c:pt>
              <c:pt idx="111">
                <c:v>162.67711007008469</c:v>
              </c:pt>
              <c:pt idx="112">
                <c:v>148.30354134647334</c:v>
              </c:pt>
              <c:pt idx="113">
                <c:v>155.49032570827902</c:v>
              </c:pt>
              <c:pt idx="114">
                <c:v>152.79528157260188</c:v>
              </c:pt>
              <c:pt idx="115">
                <c:v>151.89693352737618</c:v>
              </c:pt>
              <c:pt idx="116">
                <c:v>150.99858548215045</c:v>
              </c:pt>
              <c:pt idx="117">
                <c:v>169.86389443189037</c:v>
              </c:pt>
              <c:pt idx="118">
                <c:v>173.45728661279321</c:v>
              </c:pt>
              <c:pt idx="119">
                <c:v>157.28702179873042</c:v>
              </c:pt>
              <c:pt idx="120">
                <c:v>168.06719834143894</c:v>
              </c:pt>
              <c:pt idx="121">
                <c:v>170.76224247711608</c:v>
              </c:pt>
              <c:pt idx="122">
                <c:v>176.15233074847035</c:v>
              </c:pt>
              <c:pt idx="123">
                <c:v>165.37215420576183</c:v>
              </c:pt>
              <c:pt idx="124">
                <c:v>148.30354134647334</c:v>
              </c:pt>
              <c:pt idx="125">
                <c:v>160.88041397963326</c:v>
              </c:pt>
              <c:pt idx="126">
                <c:v>152.79528157260188</c:v>
              </c:pt>
              <c:pt idx="127">
                <c:v>168.06719834143894</c:v>
              </c:pt>
              <c:pt idx="128">
                <c:v>160.88041397963326</c:v>
              </c:pt>
              <c:pt idx="129">
                <c:v>150.10023743692474</c:v>
              </c:pt>
              <c:pt idx="130">
                <c:v>165.37215420576183</c:v>
              </c:pt>
              <c:pt idx="131">
                <c:v>161.77876202485896</c:v>
              </c:pt>
              <c:pt idx="132">
                <c:v>172.55893856756751</c:v>
              </c:pt>
              <c:pt idx="133">
                <c:v>169.86389443189037</c:v>
              </c:pt>
              <c:pt idx="134">
                <c:v>160.88041397963326</c:v>
              </c:pt>
              <c:pt idx="135">
                <c:v>166.27050225098753</c:v>
              </c:pt>
              <c:pt idx="136">
                <c:v>148.30354134647334</c:v>
              </c:pt>
              <c:pt idx="137">
                <c:v>168.06719834143894</c:v>
              </c:pt>
              <c:pt idx="138">
                <c:v>153.69362961782758</c:v>
              </c:pt>
              <c:pt idx="139">
                <c:v>158.18536984395615</c:v>
              </c:pt>
              <c:pt idx="140">
                <c:v>162.67711007008469</c:v>
              </c:pt>
              <c:pt idx="141">
                <c:v>152.79528157260188</c:v>
              </c:pt>
              <c:pt idx="142">
                <c:v>162.67711007008469</c:v>
              </c:pt>
              <c:pt idx="143">
                <c:v>168.96554638666467</c:v>
              </c:pt>
              <c:pt idx="144">
                <c:v>162.67711007008469</c:v>
              </c:pt>
              <c:pt idx="145">
                <c:v>148.30354134647334</c:v>
              </c:pt>
              <c:pt idx="146">
                <c:v>158.18536984395615</c:v>
              </c:pt>
              <c:pt idx="147">
                <c:v>159.98206593440756</c:v>
              </c:pt>
              <c:pt idx="148">
                <c:v>137.52336480376479</c:v>
              </c:pt>
              <c:pt idx="149">
                <c:v>144.7101491655705</c:v>
              </c:pt>
              <c:pt idx="150">
                <c:v>165.37215420576183</c:v>
              </c:pt>
              <c:pt idx="151">
                <c:v>155.49032570827902</c:v>
              </c:pt>
              <c:pt idx="152">
                <c:v>168.96554638666467</c:v>
              </c:pt>
              <c:pt idx="153">
                <c:v>154.59197766305329</c:v>
              </c:pt>
              <c:pt idx="154">
                <c:v>162.67711007008469</c:v>
              </c:pt>
              <c:pt idx="155">
                <c:v>159.98206593440756</c:v>
              </c:pt>
              <c:pt idx="156">
                <c:v>156.38867375350472</c:v>
              </c:pt>
              <c:pt idx="157">
                <c:v>168.06719834143894</c:v>
              </c:pt>
              <c:pt idx="158">
                <c:v>149.20188939169904</c:v>
              </c:pt>
              <c:pt idx="159">
                <c:v>155.49032570827902</c:v>
              </c:pt>
              <c:pt idx="160">
                <c:v>175.25398270324462</c:v>
              </c:pt>
              <c:pt idx="161">
                <c:v>150.99858548215045</c:v>
              </c:pt>
              <c:pt idx="162">
                <c:v>158.18536984395615</c:v>
              </c:pt>
              <c:pt idx="163">
                <c:v>156.38867375350472</c:v>
              </c:pt>
              <c:pt idx="164">
                <c:v>158.18536984395615</c:v>
              </c:pt>
              <c:pt idx="165">
                <c:v>157.28702179873042</c:v>
              </c:pt>
              <c:pt idx="166">
                <c:v>171.66059052234181</c:v>
              </c:pt>
              <c:pt idx="167">
                <c:v>158.18536984395615</c:v>
              </c:pt>
              <c:pt idx="168">
                <c:v>160.88041397963326</c:v>
              </c:pt>
              <c:pt idx="169">
                <c:v>167.16885029621324</c:v>
              </c:pt>
              <c:pt idx="170">
                <c:v>161.77876202485896</c:v>
              </c:pt>
              <c:pt idx="171">
                <c:v>167.16885029621324</c:v>
              </c:pt>
              <c:pt idx="172">
                <c:v>174.35563465801891</c:v>
              </c:pt>
              <c:pt idx="173">
                <c:v>167.16885029621324</c:v>
              </c:pt>
              <c:pt idx="174">
                <c:v>156.38867375350472</c:v>
              </c:pt>
              <c:pt idx="175">
                <c:v>168.06719834143894</c:v>
              </c:pt>
              <c:pt idx="176">
                <c:v>173.45728661279321</c:v>
              </c:pt>
              <c:pt idx="177">
                <c:v>157.28702179873042</c:v>
              </c:pt>
              <c:pt idx="178">
                <c:v>157.28702179873042</c:v>
              </c:pt>
              <c:pt idx="179">
                <c:v>184.23746315550173</c:v>
              </c:pt>
              <c:pt idx="180">
                <c:v>165.37215420576183</c:v>
              </c:pt>
              <c:pt idx="181">
                <c:v>167.16885029621324</c:v>
              </c:pt>
              <c:pt idx="182">
                <c:v>153.69362961782758</c:v>
              </c:pt>
              <c:pt idx="183">
                <c:v>159.98206593440756</c:v>
              </c:pt>
              <c:pt idx="184">
                <c:v>168.06719834143894</c:v>
              </c:pt>
              <c:pt idx="185">
                <c:v>144.7101491655705</c:v>
              </c:pt>
              <c:pt idx="186">
                <c:v>164.4738061605361</c:v>
              </c:pt>
              <c:pt idx="187">
                <c:v>153.69362961782758</c:v>
              </c:pt>
              <c:pt idx="188">
                <c:v>151.89693352737618</c:v>
              </c:pt>
              <c:pt idx="189">
                <c:v>181.54241901982459</c:v>
              </c:pt>
              <c:pt idx="190">
                <c:v>159.08371788918186</c:v>
              </c:pt>
              <c:pt idx="191">
                <c:v>150.10023743692474</c:v>
              </c:pt>
              <c:pt idx="192">
                <c:v>159.98206593440756</c:v>
              </c:pt>
              <c:pt idx="193">
                <c:v>143.81180112034477</c:v>
              </c:pt>
              <c:pt idx="194">
                <c:v>186.03415924595316</c:v>
              </c:pt>
              <c:pt idx="195">
                <c:v>153.69362961782758</c:v>
              </c:pt>
              <c:pt idx="196">
                <c:v>158.18536984395615</c:v>
              </c:pt>
              <c:pt idx="197">
                <c:v>172.55893856756751</c:v>
              </c:pt>
              <c:pt idx="198">
                <c:v>159.08371788918186</c:v>
              </c:pt>
              <c:pt idx="199">
                <c:v>159.08371788918186</c:v>
              </c:pt>
              <c:pt idx="200">
                <c:v>158.18536984395615</c:v>
              </c:pt>
              <c:pt idx="201">
                <c:v>165.37215420576183</c:v>
              </c:pt>
              <c:pt idx="202">
                <c:v>176.15233074847035</c:v>
              </c:pt>
              <c:pt idx="203">
                <c:v>174.35563465801891</c:v>
              </c:pt>
              <c:pt idx="204">
                <c:v>173.45728661279321</c:v>
              </c:pt>
              <c:pt idx="205">
                <c:v>164.4738061605361</c:v>
              </c:pt>
              <c:pt idx="206">
                <c:v>160.88041397963326</c:v>
              </c:pt>
              <c:pt idx="207">
                <c:v>176.15233074847035</c:v>
              </c:pt>
              <c:pt idx="208">
                <c:v>164.4738061605361</c:v>
              </c:pt>
              <c:pt idx="209">
                <c:v>154.59197766305329</c:v>
              </c:pt>
              <c:pt idx="210">
                <c:v>159.08371788918186</c:v>
              </c:pt>
              <c:pt idx="211">
                <c:v>150.10023743692474</c:v>
              </c:pt>
              <c:pt idx="212">
                <c:v>168.06719834143894</c:v>
              </c:pt>
              <c:pt idx="213">
                <c:v>159.98206593440756</c:v>
              </c:pt>
              <c:pt idx="214">
                <c:v>157.28702179873042</c:v>
              </c:pt>
              <c:pt idx="215">
                <c:v>158.18536984395615</c:v>
              </c:pt>
              <c:pt idx="216">
                <c:v>163.5754581153104</c:v>
              </c:pt>
              <c:pt idx="217">
                <c:v>154.59197766305329</c:v>
              </c:pt>
              <c:pt idx="218">
                <c:v>160.88041397963326</c:v>
              </c:pt>
              <c:pt idx="219">
                <c:v>159.98206593440756</c:v>
              </c:pt>
              <c:pt idx="220">
                <c:v>173.45728661279321</c:v>
              </c:pt>
              <c:pt idx="221">
                <c:v>175.25398270324462</c:v>
              </c:pt>
              <c:pt idx="222">
                <c:v>146.5068452560219</c:v>
              </c:pt>
              <c:pt idx="223">
                <c:v>156.38867375350472</c:v>
              </c:pt>
              <c:pt idx="224">
                <c:v>152.79528157260188</c:v>
              </c:pt>
              <c:pt idx="225">
                <c:v>145.6084972107962</c:v>
              </c:pt>
              <c:pt idx="226">
                <c:v>152.79528157260188</c:v>
              </c:pt>
              <c:pt idx="227">
                <c:v>155.49032570827902</c:v>
              </c:pt>
              <c:pt idx="228">
                <c:v>162.67711007008469</c:v>
              </c:pt>
              <c:pt idx="229">
                <c:v>133.03162457763625</c:v>
              </c:pt>
              <c:pt idx="230">
                <c:v>148.30354134647334</c:v>
              </c:pt>
              <c:pt idx="231">
                <c:v>163.5754581153104</c:v>
              </c:pt>
              <c:pt idx="232">
                <c:v>174.35563465801891</c:v>
              </c:pt>
              <c:pt idx="233">
                <c:v>172.55893856756751</c:v>
              </c:pt>
              <c:pt idx="234">
                <c:v>164.4738061605361</c:v>
              </c:pt>
              <c:pt idx="235">
                <c:v>159.98206593440756</c:v>
              </c:pt>
              <c:pt idx="236">
                <c:v>172.55893856756751</c:v>
              </c:pt>
              <c:pt idx="237">
                <c:v>163.5754581153104</c:v>
              </c:pt>
              <c:pt idx="238">
                <c:v>171.66059052234181</c:v>
              </c:pt>
              <c:pt idx="239">
                <c:v>171.66059052234181</c:v>
              </c:pt>
              <c:pt idx="240">
                <c:v>162.67711007008469</c:v>
              </c:pt>
              <c:pt idx="241">
                <c:v>159.98206593440756</c:v>
              </c:pt>
              <c:pt idx="242">
                <c:v>170.76224247711608</c:v>
              </c:pt>
              <c:pt idx="243">
                <c:v>154.59197766305329</c:v>
              </c:pt>
              <c:pt idx="244">
                <c:v>166.27050225098753</c:v>
              </c:pt>
            </c:numLit>
          </c:yVal>
          <c:smooth val="0"/>
        </c:ser>
        <c:ser>
          <c:idx val="2"/>
          <c:order val="2"/>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plus>
            <c:min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minus>
          </c:errBars>
          <c:xVal>
            <c:numRef>
              <c:f>'Model 2.0'!$A$52:$A$56</c:f>
              <c:numCache>
                <c:formatCode>0</c:formatCode>
                <c:ptCount val="5"/>
                <c:pt idx="0">
                  <c:v>246</c:v>
                </c:pt>
                <c:pt idx="1">
                  <c:v>247</c:v>
                </c:pt>
                <c:pt idx="2">
                  <c:v>248</c:v>
                </c:pt>
                <c:pt idx="3">
                  <c:v>249</c:v>
                </c:pt>
                <c:pt idx="4">
                  <c:v>250</c:v>
                </c:pt>
              </c:numCache>
            </c:numRef>
          </c:xVal>
          <c:yVal>
            <c:numRef>
              <c:f>'Model 2.0'!$B$52:$B$56</c:f>
              <c:numCache>
                <c:formatCode>#,##0.000</c:formatCode>
                <c:ptCount val="5"/>
                <c:pt idx="0">
                  <c:v>166.27050225098753</c:v>
                </c:pt>
                <c:pt idx="1">
                  <c:v>161.77876202485896</c:v>
                </c:pt>
                <c:pt idx="2">
                  <c:v>160.88041397963326</c:v>
                </c:pt>
                <c:pt idx="3">
                  <c:v>170.76224247711608</c:v>
                </c:pt>
                <c:pt idx="4">
                  <c:v>153.69362961782758</c:v>
                </c:pt>
              </c:numCache>
            </c:numRef>
          </c:yVal>
          <c:smooth val="0"/>
        </c:ser>
        <c:dLbls>
          <c:showLegendKey val="0"/>
          <c:showVal val="0"/>
          <c:showCatName val="0"/>
          <c:showSerName val="0"/>
          <c:showPercent val="0"/>
          <c:showBubbleSize val="0"/>
        </c:dLbls>
        <c:axId val="1103543720"/>
        <c:axId val="1103543328"/>
      </c:scatterChart>
      <c:valAx>
        <c:axId val="1103543720"/>
        <c:scaling>
          <c:orientation val="minMax"/>
        </c:scaling>
        <c:delete val="0"/>
        <c:axPos val="b"/>
        <c:numFmt formatCode="General" sourceLinked="1"/>
        <c:majorTickMark val="out"/>
        <c:minorTickMark val="none"/>
        <c:tickLblPos val="nextTo"/>
        <c:crossAx val="1103543328"/>
        <c:crossesAt val="110"/>
        <c:crossBetween val="midCat"/>
      </c:valAx>
      <c:valAx>
        <c:axId val="1103543328"/>
        <c:scaling>
          <c:orientation val="minMax"/>
          <c:min val="110"/>
        </c:scaling>
        <c:delete val="0"/>
        <c:axPos val="l"/>
        <c:majorGridlines>
          <c:spPr>
            <a:ln w="3175">
              <a:solidFill>
                <a:srgbClr val="C0C0C0"/>
              </a:solidFill>
              <a:prstDash val="solid"/>
            </a:ln>
          </c:spPr>
        </c:majorGridlines>
        <c:numFmt formatCode="General" sourceLinked="1"/>
        <c:majorTickMark val="out"/>
        <c:minorTickMark val="none"/>
        <c:tickLblPos val="nextTo"/>
        <c:crossAx val="1103543720"/>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mn-lt"/>
          <a:ea typeface="+mn-lt"/>
          <a:cs typeface="+mn-lt"/>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Observation #
</a:t>
            </a:r>
            <a:r>
              <a:rPr lang="en-US" sz="1000"/>
              <a:t>Model 2.0 for Y    (1 variable, n=245)</a:t>
            </a:r>
          </a:p>
        </c:rich>
      </c:tx>
      <c:overlay val="0"/>
    </c:title>
    <c:autoTitleDeleted val="0"/>
    <c:plotArea>
      <c:layout/>
      <c:barChart>
        <c:barDir val="col"/>
        <c:grouping val="clustered"/>
        <c:varyColors val="0"/>
        <c:ser>
          <c:idx val="0"/>
          <c:order val="0"/>
          <c:tx>
            <c:v>Actual</c:v>
          </c:tx>
          <c:spPr>
            <a:solidFill>
              <a:srgbClr val="0000FF"/>
            </a:solidFill>
            <a:ln w="3175">
              <a:solidFill>
                <a:srgbClr val="0000FF"/>
              </a:solidFill>
              <a:prstDash val="solid"/>
            </a:ln>
            <a:effectLst/>
          </c:spPr>
          <c:invertIfNegative val="0"/>
          <c:trendline>
            <c:spPr>
              <a:ln w="12700">
                <a:solidFill>
                  <a:srgbClr val="FF0000"/>
                </a:solidFill>
                <a:prstDash val="sysDash"/>
              </a:ln>
            </c:spPr>
            <c:trendlineType val="linear"/>
            <c:dispRSqr val="0"/>
            <c:dispEq val="0"/>
          </c:trendline>
          <c:cat>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cat>
          <c:val>
            <c:numLit>
              <c:formatCode>General</c:formatCode>
              <c:ptCount val="245"/>
              <c:pt idx="0">
                <c:v>5.2047184273981202</c:v>
              </c:pt>
              <c:pt idx="1">
                <c:v>-3.0671983414389388</c:v>
              </c:pt>
              <c:pt idx="2">
                <c:v>-1.6936296178275825</c:v>
              </c:pt>
              <c:pt idx="3">
                <c:v>-6.8804139796332606</c:v>
              </c:pt>
              <c:pt idx="4">
                <c:v>-2.4903257082790162</c:v>
              </c:pt>
              <c:pt idx="5">
                <c:v>-5.8969335273761772</c:v>
              </c:pt>
              <c:pt idx="6">
                <c:v>2.2212379751410367</c:v>
              </c:pt>
              <c:pt idx="7">
                <c:v>1.9328016585610612</c:v>
              </c:pt>
              <c:pt idx="8">
                <c:v>27.814630156043847</c:v>
              </c:pt>
              <c:pt idx="9">
                <c:v>-0.16885029621323611</c:v>
              </c:pt>
              <c:pt idx="10">
                <c:v>2.3394094776581937</c:v>
              </c:pt>
              <c:pt idx="11">
                <c:v>9.3063703821724175</c:v>
              </c:pt>
              <c:pt idx="12">
                <c:v>3.2377575228839248</c:v>
              </c:pt>
              <c:pt idx="13">
                <c:v>14.03445361333533</c:v>
              </c:pt>
              <c:pt idx="14">
                <c:v>0.64436534198108575</c:v>
              </c:pt>
              <c:pt idx="15">
                <c:v>7.3063703821724175</c:v>
              </c:pt>
              <c:pt idx="16">
                <c:v>-4.8804139796332606</c:v>
              </c:pt>
              <c:pt idx="17">
                <c:v>1.017934065592442</c:v>
              </c:pt>
              <c:pt idx="18">
                <c:v>-2.0671983414389388</c:v>
              </c:pt>
              <c:pt idx="19">
                <c:v>-2.8118011203447679</c:v>
              </c:pt>
              <c:pt idx="20">
                <c:v>-9.8638944318903725</c:v>
              </c:pt>
              <c:pt idx="21">
                <c:v>23.306370382172418</c:v>
              </c:pt>
              <c:pt idx="22">
                <c:v>1.2707966183697295</c:v>
              </c:pt>
              <c:pt idx="23">
                <c:v>5.8997625630752566</c:v>
              </c:pt>
              <c:pt idx="24">
                <c:v>-0.82832066808768445</c:v>
              </c:pt>
              <c:pt idx="25">
                <c:v>-7.6936296178275825</c:v>
              </c:pt>
              <c:pt idx="26">
                <c:v>1.2212379751410367</c:v>
              </c:pt>
              <c:pt idx="27">
                <c:v>-7.2705022509875334</c:v>
              </c:pt>
              <c:pt idx="28">
                <c:v>0.22123797514103671</c:v>
              </c:pt>
              <c:pt idx="29">
                <c:v>-4.7622424771160752</c:v>
              </c:pt>
              <c:pt idx="30">
                <c:v>-30.168850296213236</c:v>
              </c:pt>
              <c:pt idx="31">
                <c:v>-6.8638944318903725</c:v>
              </c:pt>
              <c:pt idx="32">
                <c:v>-3.4738061605360997</c:v>
              </c:pt>
              <c:pt idx="33">
                <c:v>-1.982065934407558</c:v>
              </c:pt>
              <c:pt idx="34">
                <c:v>-1.8638944318903725</c:v>
              </c:pt>
              <c:pt idx="35">
                <c:v>-1.6936296178275825</c:v>
              </c:pt>
              <c:pt idx="36">
                <c:v>-7.9985854821504461</c:v>
              </c:pt>
              <c:pt idx="37">
                <c:v>-6.8804139796332606</c:v>
              </c:pt>
              <c:pt idx="38">
                <c:v>2.1195860203667394</c:v>
              </c:pt>
              <c:pt idx="39">
                <c:v>1.1361055681096275</c:v>
              </c:pt>
              <c:pt idx="40">
                <c:v>-8.0837178891818553</c:v>
              </c:pt>
              <c:pt idx="41">
                <c:v>4.7294977490124666</c:v>
              </c:pt>
              <c:pt idx="42">
                <c:v>-5.7787620248589633</c:v>
              </c:pt>
              <c:pt idx="43">
                <c:v>2.1195860203667394</c:v>
              </c:pt>
              <c:pt idx="44">
                <c:v>1.3915027892037983</c:v>
              </c:pt>
              <c:pt idx="45">
                <c:v>32.221237975141037</c:v>
              </c:pt>
              <c:pt idx="46">
                <c:v>-3.5919776630532851</c:v>
              </c:pt>
              <c:pt idx="47">
                <c:v>-0.88041397963326062</c:v>
              </c:pt>
              <c:pt idx="48">
                <c:v>1.7129782012695784</c:v>
              </c:pt>
              <c:pt idx="49">
                <c:v>0.44106143243249107</c:v>
              </c:pt>
              <c:pt idx="50">
                <c:v>6.0344536133353301</c:v>
              </c:pt>
              <c:pt idx="51">
                <c:v>6.0344536133353301</c:v>
              </c:pt>
              <c:pt idx="52">
                <c:v>13.119586020366739</c:v>
              </c:pt>
              <c:pt idx="53">
                <c:v>14.542713387206788</c:v>
              </c:pt>
              <c:pt idx="54">
                <c:v>14.237757522883925</c:v>
              </c:pt>
              <c:pt idx="55">
                <c:v>8.5096742917209838</c:v>
              </c:pt>
              <c:pt idx="56">
                <c:v>-2.3721542057618308</c:v>
              </c:pt>
              <c:pt idx="57">
                <c:v>0.74601729675538309</c:v>
              </c:pt>
              <c:pt idx="58">
                <c:v>6.6278457942381692</c:v>
              </c:pt>
              <c:pt idx="59">
                <c:v>-41.575458115310397</c:v>
              </c:pt>
              <c:pt idx="60">
                <c:v>2.6278457942381692</c:v>
              </c:pt>
              <c:pt idx="61">
                <c:v>-4.2539827032446169</c:v>
              </c:pt>
              <c:pt idx="62">
                <c:v>7.424541884689603</c:v>
              </c:pt>
              <c:pt idx="63">
                <c:v>5.7294977490124666</c:v>
              </c:pt>
              <c:pt idx="64">
                <c:v>-0.10023743692474341</c:v>
              </c:pt>
              <c:pt idx="65">
                <c:v>10.221237975141037</c:v>
              </c:pt>
              <c:pt idx="66">
                <c:v>-1.6084972107962017</c:v>
              </c:pt>
              <c:pt idx="67">
                <c:v>-5.0837178891818553</c:v>
              </c:pt>
              <c:pt idx="68">
                <c:v>-4.4738061605360997</c:v>
              </c:pt>
              <c:pt idx="69">
                <c:v>1.7129782012695784</c:v>
              </c:pt>
              <c:pt idx="70">
                <c:v>-5.7787620248589633</c:v>
              </c:pt>
              <c:pt idx="71">
                <c:v>-1.0151050298933626</c:v>
              </c:pt>
              <c:pt idx="72">
                <c:v>-4.1853698439561526</c:v>
              </c:pt>
              <c:pt idx="73">
                <c:v>-1.4903257082790162</c:v>
              </c:pt>
              <c:pt idx="74">
                <c:v>-10.96554638666467</c:v>
              </c:pt>
              <c:pt idx="75">
                <c:v>-11.168850296213236</c:v>
              </c:pt>
              <c:pt idx="76">
                <c:v>-6.2870217987304216</c:v>
              </c:pt>
              <c:pt idx="77">
                <c:v>-10.201889391699041</c:v>
              </c:pt>
              <c:pt idx="78">
                <c:v>-27.490325708279016</c:v>
              </c:pt>
              <c:pt idx="79">
                <c:v>-0.37215420576183078</c:v>
              </c:pt>
              <c:pt idx="80">
                <c:v>-1.8473748841474844</c:v>
              </c:pt>
              <c:pt idx="81">
                <c:v>7.7294977490124666</c:v>
              </c:pt>
              <c:pt idx="82">
                <c:v>3.847669251529652</c:v>
              </c:pt>
              <c:pt idx="83">
                <c:v>-0.86389443189037252</c:v>
              </c:pt>
              <c:pt idx="84">
                <c:v>-2.6605905223418063</c:v>
              </c:pt>
              <c:pt idx="85">
                <c:v>0.32288992991530563</c:v>
              </c:pt>
              <c:pt idx="86">
                <c:v>3.7981106083009593</c:v>
              </c:pt>
              <c:pt idx="87">
                <c:v>2.3394094776581937</c:v>
              </c:pt>
              <c:pt idx="88">
                <c:v>0.9162821108181447</c:v>
              </c:pt>
              <c:pt idx="89">
                <c:v>-1.575458115310397</c:v>
              </c:pt>
              <c:pt idx="90">
                <c:v>7.4080223369467149</c:v>
              </c:pt>
              <c:pt idx="91">
                <c:v>-4.1688502962132361</c:v>
              </c:pt>
              <c:pt idx="92">
                <c:v>4.1881988796552321</c:v>
              </c:pt>
              <c:pt idx="93">
                <c:v>-2.9655463866646699</c:v>
              </c:pt>
              <c:pt idx="94">
                <c:v>6.1195860203667394</c:v>
              </c:pt>
              <c:pt idx="95">
                <c:v>11.729497749012467</c:v>
              </c:pt>
              <c:pt idx="96">
                <c:v>7.1881988796552321</c:v>
              </c:pt>
              <c:pt idx="97">
                <c:v>-1.3556346580189143</c:v>
              </c:pt>
              <c:pt idx="98">
                <c:v>-2.4572866127932116</c:v>
              </c:pt>
              <c:pt idx="99">
                <c:v>-0.38867375350471889</c:v>
              </c:pt>
              <c:pt idx="100">
                <c:v>3.1195860203667394</c:v>
              </c:pt>
              <c:pt idx="101">
                <c:v>8.0509731610782467</c:v>
              </c:pt>
              <c:pt idx="102">
                <c:v>-0.4738061605360997</c:v>
              </c:pt>
              <c:pt idx="103">
                <c:v>10.712978201269578</c:v>
              </c:pt>
              <c:pt idx="104">
                <c:v>2.847669251529652</c:v>
              </c:pt>
              <c:pt idx="105">
                <c:v>4.4575809801754076</c:v>
              </c:pt>
              <c:pt idx="106">
                <c:v>8.9162821108181447</c:v>
              </c:pt>
              <c:pt idx="107">
                <c:v>9.1195860203667394</c:v>
              </c:pt>
              <c:pt idx="108">
                <c:v>38.5261938394639</c:v>
              </c:pt>
              <c:pt idx="109">
                <c:v>10.916282110818145</c:v>
              </c:pt>
              <c:pt idx="110">
                <c:v>0.42454188468960297</c:v>
              </c:pt>
              <c:pt idx="111">
                <c:v>7.3228899299153056</c:v>
              </c:pt>
              <c:pt idx="112">
                <c:v>1.6964586535266619</c:v>
              </c:pt>
              <c:pt idx="113">
                <c:v>-5.4903257082790162</c:v>
              </c:pt>
              <c:pt idx="114">
                <c:v>-7.7952815726018798</c:v>
              </c:pt>
              <c:pt idx="115">
                <c:v>-0.89693352737617715</c:v>
              </c:pt>
              <c:pt idx="116">
                <c:v>1.0014145178495539</c:v>
              </c:pt>
              <c:pt idx="117">
                <c:v>-8.8638944318903725</c:v>
              </c:pt>
              <c:pt idx="118">
                <c:v>-2.4572866127932116</c:v>
              </c:pt>
              <c:pt idx="119">
                <c:v>2.7129782012695784</c:v>
              </c:pt>
              <c:pt idx="120">
                <c:v>4.9328016585610612</c:v>
              </c:pt>
              <c:pt idx="121">
                <c:v>-4.7622424771160752</c:v>
              </c:pt>
              <c:pt idx="122">
                <c:v>2.847669251529652</c:v>
              </c:pt>
              <c:pt idx="123">
                <c:v>2.6278457942381692</c:v>
              </c:pt>
              <c:pt idx="124">
                <c:v>9.6964586535266619</c:v>
              </c:pt>
              <c:pt idx="125">
                <c:v>-30.880413979633261</c:v>
              </c:pt>
              <c:pt idx="126">
                <c:v>-10.79528157260188</c:v>
              </c:pt>
              <c:pt idx="127">
                <c:v>-11.067198341438939</c:v>
              </c:pt>
              <c:pt idx="128">
                <c:v>-3.8804139796332606</c:v>
              </c:pt>
              <c:pt idx="129">
                <c:v>-0.10023743692474341</c:v>
              </c:pt>
              <c:pt idx="130">
                <c:v>-3.3721542057618308</c:v>
              </c:pt>
              <c:pt idx="131">
                <c:v>-6.7787620248589633</c:v>
              </c:pt>
              <c:pt idx="132">
                <c:v>-4.5589385675675089</c:v>
              </c:pt>
              <c:pt idx="133">
                <c:v>-9.8638944318903725</c:v>
              </c:pt>
              <c:pt idx="134">
                <c:v>0.11958602036673938</c:v>
              </c:pt>
              <c:pt idx="135">
                <c:v>3.7294977490124666</c:v>
              </c:pt>
              <c:pt idx="136">
                <c:v>-1.3035413464733381</c:v>
              </c:pt>
              <c:pt idx="137">
                <c:v>-6.7198341438938769E-2</c:v>
              </c:pt>
              <c:pt idx="138">
                <c:v>11.306370382172418</c:v>
              </c:pt>
              <c:pt idx="139">
                <c:v>9.8146301560438474</c:v>
              </c:pt>
              <c:pt idx="140">
                <c:v>-5.6771100700846944</c:v>
              </c:pt>
              <c:pt idx="141">
                <c:v>-10.79528157260188</c:v>
              </c:pt>
              <c:pt idx="142">
                <c:v>-5.6771100700846944</c:v>
              </c:pt>
              <c:pt idx="143">
                <c:v>1.0344536133353301</c:v>
              </c:pt>
              <c:pt idx="144">
                <c:v>0.32288992991530563</c:v>
              </c:pt>
              <c:pt idx="145">
                <c:v>-2.3035413464733381</c:v>
              </c:pt>
              <c:pt idx="146">
                <c:v>-3.1853698439561526</c:v>
              </c:pt>
              <c:pt idx="147">
                <c:v>9.017934065592442</c:v>
              </c:pt>
              <c:pt idx="148">
                <c:v>-0.52336480376479244</c:v>
              </c:pt>
              <c:pt idx="149">
                <c:v>-8.710149165570499</c:v>
              </c:pt>
              <c:pt idx="150">
                <c:v>-15.372154205761831</c:v>
              </c:pt>
              <c:pt idx="151">
                <c:v>-12.490325708279016</c:v>
              </c:pt>
              <c:pt idx="152">
                <c:v>-5.9655463866646699</c:v>
              </c:pt>
              <c:pt idx="153">
                <c:v>0.40802233694671486</c:v>
              </c:pt>
              <c:pt idx="154">
                <c:v>1.3228899299153056</c:v>
              </c:pt>
              <c:pt idx="155">
                <c:v>-3.982065934407558</c:v>
              </c:pt>
              <c:pt idx="156">
                <c:v>-4.3886737535047189</c:v>
              </c:pt>
              <c:pt idx="157">
                <c:v>-6.0671983414389388</c:v>
              </c:pt>
              <c:pt idx="158">
                <c:v>5.7981106083009593</c:v>
              </c:pt>
              <c:pt idx="159">
                <c:v>1.5096742917209838</c:v>
              </c:pt>
              <c:pt idx="160">
                <c:v>-8.2539827032446169</c:v>
              </c:pt>
              <c:pt idx="161">
                <c:v>9.0014145178495539</c:v>
              </c:pt>
              <c:pt idx="162">
                <c:v>3.8146301560438474</c:v>
              </c:pt>
              <c:pt idx="163">
                <c:v>4.6113262464952811</c:v>
              </c:pt>
              <c:pt idx="164">
                <c:v>7.8146301560438474</c:v>
              </c:pt>
              <c:pt idx="165">
                <c:v>8.7129782012695784</c:v>
              </c:pt>
              <c:pt idx="166">
                <c:v>-5.6605905223418063</c:v>
              </c:pt>
              <c:pt idx="167">
                <c:v>-2.1853698439561526</c:v>
              </c:pt>
              <c:pt idx="168">
                <c:v>-2.8804139796332606</c:v>
              </c:pt>
              <c:pt idx="169">
                <c:v>0.83114970378676389</c:v>
              </c:pt>
              <c:pt idx="170">
                <c:v>-2.7787620248589633</c:v>
              </c:pt>
              <c:pt idx="171">
                <c:v>13.831149703786764</c:v>
              </c:pt>
              <c:pt idx="172">
                <c:v>15.644365341981086</c:v>
              </c:pt>
              <c:pt idx="173">
                <c:v>9.8311497037867639</c:v>
              </c:pt>
              <c:pt idx="174">
                <c:v>38.611326246495281</c:v>
              </c:pt>
              <c:pt idx="175">
                <c:v>-8.0671983414389388</c:v>
              </c:pt>
              <c:pt idx="176">
                <c:v>-11.457286612793212</c:v>
              </c:pt>
              <c:pt idx="177">
                <c:v>-4.2870217987304216</c:v>
              </c:pt>
              <c:pt idx="178">
                <c:v>4.7129782012695784</c:v>
              </c:pt>
              <c:pt idx="179">
                <c:v>1.7625368444982712</c:v>
              </c:pt>
              <c:pt idx="180">
                <c:v>8.6278457942381692</c:v>
              </c:pt>
              <c:pt idx="181">
                <c:v>-2.1688502962132361</c:v>
              </c:pt>
              <c:pt idx="182">
                <c:v>5.3063703821724175</c:v>
              </c:pt>
              <c:pt idx="183">
                <c:v>2.017934065592442</c:v>
              </c:pt>
              <c:pt idx="184">
                <c:v>-6.7198341438938769E-2</c:v>
              </c:pt>
              <c:pt idx="185">
                <c:v>1.289850834429501</c:v>
              </c:pt>
              <c:pt idx="186">
                <c:v>0.5261938394639003</c:v>
              </c:pt>
              <c:pt idx="187">
                <c:v>-2.6936296178275825</c:v>
              </c:pt>
              <c:pt idx="188">
                <c:v>-6.8969335273761772</c:v>
              </c:pt>
              <c:pt idx="189">
                <c:v>-3.5424190198245924</c:v>
              </c:pt>
              <c:pt idx="190">
                <c:v>6.9162821108181447</c:v>
              </c:pt>
              <c:pt idx="191">
                <c:v>21.899762563075257</c:v>
              </c:pt>
              <c:pt idx="192">
                <c:v>-10.982065934407558</c:v>
              </c:pt>
              <c:pt idx="193">
                <c:v>-4.8118011203447679</c:v>
              </c:pt>
              <c:pt idx="194">
                <c:v>-13.034159245953163</c:v>
              </c:pt>
              <c:pt idx="195">
                <c:v>4.3063703821724175</c:v>
              </c:pt>
              <c:pt idx="196">
                <c:v>-5.1853698439561526</c:v>
              </c:pt>
              <c:pt idx="197">
                <c:v>-2.5589385675675089</c:v>
              </c:pt>
              <c:pt idx="198">
                <c:v>-4.0837178891818553</c:v>
              </c:pt>
              <c:pt idx="199">
                <c:v>-5.0837178891818553</c:v>
              </c:pt>
              <c:pt idx="200">
                <c:v>-0.18536984395615264</c:v>
              </c:pt>
              <c:pt idx="201">
                <c:v>-1.3721542057618308</c:v>
              </c:pt>
              <c:pt idx="202">
                <c:v>-8.152330748470348</c:v>
              </c:pt>
              <c:pt idx="203">
                <c:v>-1.3556346580189143</c:v>
              </c:pt>
              <c:pt idx="204">
                <c:v>-2.4572866127932116</c:v>
              </c:pt>
              <c:pt idx="205">
                <c:v>0.5261938394639003</c:v>
              </c:pt>
              <c:pt idx="206">
                <c:v>3.1195860203667394</c:v>
              </c:pt>
              <c:pt idx="207">
                <c:v>-5.152330748470348</c:v>
              </c:pt>
              <c:pt idx="208">
                <c:v>8.5261938394639003</c:v>
              </c:pt>
              <c:pt idx="209">
                <c:v>3.4080223369467149</c:v>
              </c:pt>
              <c:pt idx="210">
                <c:v>-2.0837178891818553</c:v>
              </c:pt>
              <c:pt idx="211">
                <c:v>3.8997625630752566</c:v>
              </c:pt>
              <c:pt idx="212">
                <c:v>1.9328016585610612</c:v>
              </c:pt>
              <c:pt idx="213">
                <c:v>7.017934065592442</c:v>
              </c:pt>
              <c:pt idx="214">
                <c:v>-0.28702179873042155</c:v>
              </c:pt>
              <c:pt idx="215">
                <c:v>-6.1853698439561526</c:v>
              </c:pt>
              <c:pt idx="216">
                <c:v>0.42454188468960297</c:v>
              </c:pt>
              <c:pt idx="217">
                <c:v>-3.5919776630532851</c:v>
              </c:pt>
              <c:pt idx="218">
                <c:v>-10.880413979633261</c:v>
              </c:pt>
              <c:pt idx="219">
                <c:v>-12.982065934407558</c:v>
              </c:pt>
              <c:pt idx="220">
                <c:v>-6.4572866127932116</c:v>
              </c:pt>
              <c:pt idx="221">
                <c:v>3.7460172967553831</c:v>
              </c:pt>
              <c:pt idx="222">
                <c:v>-0.50684525602190433</c:v>
              </c:pt>
              <c:pt idx="223">
                <c:v>0.61132624649528111</c:v>
              </c:pt>
              <c:pt idx="224">
                <c:v>-4.7952815726018798</c:v>
              </c:pt>
              <c:pt idx="225">
                <c:v>-31.608497210796202</c:v>
              </c:pt>
              <c:pt idx="226">
                <c:v>-8.7952815726018798</c:v>
              </c:pt>
              <c:pt idx="227">
                <c:v>1.5096742917209838</c:v>
              </c:pt>
              <c:pt idx="228">
                <c:v>1.3228899299153056</c:v>
              </c:pt>
              <c:pt idx="229">
                <c:v>-10.031624577636251</c:v>
              </c:pt>
              <c:pt idx="230">
                <c:v>-15.303541346473338</c:v>
              </c:pt>
              <c:pt idx="231">
                <c:v>-10.575458115310397</c:v>
              </c:pt>
              <c:pt idx="232">
                <c:v>-13.355634658018914</c:v>
              </c:pt>
              <c:pt idx="233">
                <c:v>-0.55893856756750893</c:v>
              </c:pt>
              <c:pt idx="234">
                <c:v>-5.4738061605360997</c:v>
              </c:pt>
              <c:pt idx="235">
                <c:v>4.017934065592442</c:v>
              </c:pt>
              <c:pt idx="236">
                <c:v>-3.5589385675675089</c:v>
              </c:pt>
              <c:pt idx="237">
                <c:v>3.424541884689603</c:v>
              </c:pt>
              <c:pt idx="238">
                <c:v>11.339409477658194</c:v>
              </c:pt>
              <c:pt idx="239">
                <c:v>15.339409477658194</c:v>
              </c:pt>
              <c:pt idx="240">
                <c:v>11.322889929915306</c:v>
              </c:pt>
              <c:pt idx="241">
                <c:v>8.017934065592442</c:v>
              </c:pt>
              <c:pt idx="242">
                <c:v>5.2377575228839248</c:v>
              </c:pt>
              <c:pt idx="243">
                <c:v>9.4080223369467149</c:v>
              </c:pt>
              <c:pt idx="244">
                <c:v>12.729497749012467</c:v>
              </c:pt>
            </c:numLit>
          </c:val>
        </c:ser>
        <c:dLbls>
          <c:showLegendKey val="0"/>
          <c:showVal val="0"/>
          <c:showCatName val="0"/>
          <c:showSerName val="0"/>
          <c:showPercent val="0"/>
          <c:showBubbleSize val="0"/>
        </c:dLbls>
        <c:gapWidth val="25"/>
        <c:axId val="1103542936"/>
        <c:axId val="1103542544"/>
      </c:barChart>
      <c:catAx>
        <c:axId val="1103542936"/>
        <c:scaling>
          <c:orientation val="minMax"/>
        </c:scaling>
        <c:delete val="0"/>
        <c:axPos val="b"/>
        <c:numFmt formatCode="General" sourceLinked="1"/>
        <c:majorTickMark val="none"/>
        <c:minorTickMark val="none"/>
        <c:tickLblPos val="low"/>
        <c:txPr>
          <a:bodyPr rot="-5400000" vert="horz"/>
          <a:lstStyle/>
          <a:p>
            <a:pPr>
              <a:defRPr sz="900"/>
            </a:pPr>
            <a:endParaRPr lang="en-US"/>
          </a:p>
        </c:txPr>
        <c:crossAx val="1103542544"/>
        <c:crossesAt val="0"/>
        <c:auto val="1"/>
        <c:lblAlgn val="ctr"/>
        <c:lblOffset val="100"/>
        <c:noMultiLvlLbl val="0"/>
      </c:catAx>
      <c:valAx>
        <c:axId val="1103542544"/>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103542936"/>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(n = 245, mean = 35.992, slope = -0.019 per year)</a:t>
            </a:r>
          </a:p>
        </c:rich>
      </c:tx>
      <c:layout/>
      <c:overlay val="0"/>
    </c:title>
    <c:autoTitleDeleted val="0"/>
    <c:plotArea>
      <c:layout>
        <c:manualLayout>
          <c:xMode val="edge"/>
          <c:yMode val="edge"/>
          <c:x val="3.0555490265209387E-2"/>
          <c:y val="0.13333333333333333"/>
          <c:w val="0.96944450973479057"/>
          <c:h val="0.8666666666666667"/>
        </c:manualLayout>
      </c:layout>
      <c:scatterChart>
        <c:scatterStyle val="lineMarker"/>
        <c:varyColors val="0"/>
        <c:ser>
          <c:idx val="0"/>
          <c:order val="0"/>
          <c:spPr>
            <a:ln w="9525" cap="rnd" cmpd="sng" algn="ctr">
              <a:solidFill>
                <a:srgbClr val="0000FF"/>
              </a:solidFill>
              <a:prstDash val="solid"/>
              <a:round/>
              <a:headEnd type="none" w="med" len="med"/>
              <a:tailEnd type="none" w="med" len="med"/>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spPr>
              <a:ln w="3175">
                <a:solidFill>
                  <a:srgbClr val="969696"/>
                </a:solidFill>
                <a:prstDash val="solid"/>
              </a:ln>
            </c:spPr>
            <c:trendlineType val="linear"/>
            <c:dispRSqr val="0"/>
            <c:dispEq val="0"/>
          </c:trendline>
          <c:xVal>
            <c:numLit>
              <c:formatCode>General</c:formatCode>
              <c:ptCount val="245"/>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pt idx="156">
                <c:v>40179</c:v>
              </c:pt>
              <c:pt idx="157">
                <c:v>40210</c:v>
              </c:pt>
              <c:pt idx="158">
                <c:v>40238</c:v>
              </c:pt>
              <c:pt idx="159">
                <c:v>40269</c:v>
              </c:pt>
              <c:pt idx="160">
                <c:v>40299</c:v>
              </c:pt>
              <c:pt idx="161">
                <c:v>40330</c:v>
              </c:pt>
              <c:pt idx="162">
                <c:v>40360</c:v>
              </c:pt>
              <c:pt idx="163">
                <c:v>40391</c:v>
              </c:pt>
              <c:pt idx="164">
                <c:v>40422</c:v>
              </c:pt>
              <c:pt idx="165">
                <c:v>40452</c:v>
              </c:pt>
              <c:pt idx="166">
                <c:v>40483</c:v>
              </c:pt>
              <c:pt idx="167">
                <c:v>40513</c:v>
              </c:pt>
              <c:pt idx="168">
                <c:v>40544</c:v>
              </c:pt>
              <c:pt idx="169">
                <c:v>40575</c:v>
              </c:pt>
              <c:pt idx="170">
                <c:v>40603</c:v>
              </c:pt>
              <c:pt idx="171">
                <c:v>40634</c:v>
              </c:pt>
              <c:pt idx="172">
                <c:v>40664</c:v>
              </c:pt>
              <c:pt idx="173">
                <c:v>40695</c:v>
              </c:pt>
              <c:pt idx="174">
                <c:v>40725</c:v>
              </c:pt>
              <c:pt idx="175">
                <c:v>40756</c:v>
              </c:pt>
              <c:pt idx="176">
                <c:v>40787</c:v>
              </c:pt>
              <c:pt idx="177">
                <c:v>40817</c:v>
              </c:pt>
              <c:pt idx="178">
                <c:v>40848</c:v>
              </c:pt>
              <c:pt idx="179">
                <c:v>40878</c:v>
              </c:pt>
              <c:pt idx="180">
                <c:v>40909</c:v>
              </c:pt>
              <c:pt idx="181">
                <c:v>40940</c:v>
              </c:pt>
              <c:pt idx="182">
                <c:v>40969</c:v>
              </c:pt>
              <c:pt idx="183">
                <c:v>41000</c:v>
              </c:pt>
              <c:pt idx="184">
                <c:v>41030</c:v>
              </c:pt>
              <c:pt idx="185">
                <c:v>41061</c:v>
              </c:pt>
              <c:pt idx="186">
                <c:v>41091</c:v>
              </c:pt>
              <c:pt idx="187">
                <c:v>41122</c:v>
              </c:pt>
              <c:pt idx="188">
                <c:v>41153</c:v>
              </c:pt>
              <c:pt idx="189">
                <c:v>41183</c:v>
              </c:pt>
              <c:pt idx="190">
                <c:v>41214</c:v>
              </c:pt>
              <c:pt idx="191">
                <c:v>41244</c:v>
              </c:pt>
              <c:pt idx="192">
                <c:v>41275</c:v>
              </c:pt>
              <c:pt idx="193">
                <c:v>41306</c:v>
              </c:pt>
              <c:pt idx="194">
                <c:v>41334</c:v>
              </c:pt>
              <c:pt idx="195">
                <c:v>41365</c:v>
              </c:pt>
              <c:pt idx="196">
                <c:v>41395</c:v>
              </c:pt>
              <c:pt idx="197">
                <c:v>41426</c:v>
              </c:pt>
              <c:pt idx="198">
                <c:v>41456</c:v>
              </c:pt>
              <c:pt idx="199">
                <c:v>41487</c:v>
              </c:pt>
              <c:pt idx="200">
                <c:v>41518</c:v>
              </c:pt>
              <c:pt idx="201">
                <c:v>41548</c:v>
              </c:pt>
              <c:pt idx="202">
                <c:v>41579</c:v>
              </c:pt>
              <c:pt idx="203">
                <c:v>41609</c:v>
              </c:pt>
              <c:pt idx="204">
                <c:v>41640</c:v>
              </c:pt>
              <c:pt idx="205">
                <c:v>41671</c:v>
              </c:pt>
              <c:pt idx="206">
                <c:v>41699</c:v>
              </c:pt>
              <c:pt idx="207">
                <c:v>41730</c:v>
              </c:pt>
              <c:pt idx="208">
                <c:v>41760</c:v>
              </c:pt>
              <c:pt idx="209">
                <c:v>41791</c:v>
              </c:pt>
              <c:pt idx="210">
                <c:v>41821</c:v>
              </c:pt>
              <c:pt idx="211">
                <c:v>41852</c:v>
              </c:pt>
              <c:pt idx="212">
                <c:v>41883</c:v>
              </c:pt>
              <c:pt idx="213">
                <c:v>41913</c:v>
              </c:pt>
              <c:pt idx="214">
                <c:v>41944</c:v>
              </c:pt>
              <c:pt idx="215">
                <c:v>41974</c:v>
              </c:pt>
              <c:pt idx="216">
                <c:v>42005</c:v>
              </c:pt>
              <c:pt idx="217">
                <c:v>42036</c:v>
              </c:pt>
              <c:pt idx="218">
                <c:v>42064</c:v>
              </c:pt>
              <c:pt idx="219">
                <c:v>42095</c:v>
              </c:pt>
              <c:pt idx="220">
                <c:v>42125</c:v>
              </c:pt>
              <c:pt idx="221">
                <c:v>42156</c:v>
              </c:pt>
              <c:pt idx="222">
                <c:v>42186</c:v>
              </c:pt>
              <c:pt idx="223">
                <c:v>42217</c:v>
              </c:pt>
              <c:pt idx="224">
                <c:v>42248</c:v>
              </c:pt>
              <c:pt idx="225">
                <c:v>42278</c:v>
              </c:pt>
              <c:pt idx="226">
                <c:v>42309</c:v>
              </c:pt>
              <c:pt idx="227">
                <c:v>42339</c:v>
              </c:pt>
              <c:pt idx="228">
                <c:v>42370</c:v>
              </c:pt>
              <c:pt idx="229">
                <c:v>42401</c:v>
              </c:pt>
              <c:pt idx="230">
                <c:v>42430</c:v>
              </c:pt>
              <c:pt idx="231">
                <c:v>42461</c:v>
              </c:pt>
              <c:pt idx="232">
                <c:v>42491</c:v>
              </c:pt>
              <c:pt idx="233">
                <c:v>42522</c:v>
              </c:pt>
              <c:pt idx="234">
                <c:v>42552</c:v>
              </c:pt>
              <c:pt idx="235">
                <c:v>42583</c:v>
              </c:pt>
              <c:pt idx="236">
                <c:v>42614</c:v>
              </c:pt>
              <c:pt idx="237">
                <c:v>42644</c:v>
              </c:pt>
              <c:pt idx="238">
                <c:v>42675</c:v>
              </c:pt>
              <c:pt idx="239">
                <c:v>42705</c:v>
              </c:pt>
              <c:pt idx="240">
                <c:v>42736</c:v>
              </c:pt>
              <c:pt idx="241">
                <c:v>42767</c:v>
              </c:pt>
              <c:pt idx="242">
                <c:v>42795</c:v>
              </c:pt>
              <c:pt idx="243">
                <c:v>42826</c:v>
              </c:pt>
              <c:pt idx="244">
                <c:v>42856</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ser>
        <c:dLbls>
          <c:showLegendKey val="0"/>
          <c:showVal val="0"/>
          <c:showCatName val="0"/>
          <c:showSerName val="0"/>
          <c:showPercent val="0"/>
          <c:showBubbleSize val="0"/>
        </c:dLbls>
        <c:axId val="1076642944"/>
        <c:axId val="1076643336"/>
      </c:scatterChart>
      <c:valAx>
        <c:axId val="1076642944"/>
        <c:scaling>
          <c:orientation val="minMax"/>
          <c:min val="35431"/>
        </c:scaling>
        <c:delete val="0"/>
        <c:axPos val="b"/>
        <c:majorGridlines>
          <c:spPr>
            <a:ln w="3175">
              <a:solidFill>
                <a:srgbClr val="C8C8C8"/>
              </a:solidFill>
              <a:prstDash val="solid"/>
            </a:ln>
          </c:spPr>
        </c:majorGridlines>
        <c:numFmt formatCode="mm\-yyyy"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076643336"/>
        <c:crossesAt val="-100000000"/>
        <c:crossBetween val="midCat"/>
      </c:valAx>
      <c:valAx>
        <c:axId val="1076643336"/>
        <c:scaling>
          <c:orientation val="minMax"/>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076642944"/>
        <c:crossesAt val="35431"/>
        <c:crossBetween val="midCat"/>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Predicted
</a:t>
            </a:r>
            <a:r>
              <a:rPr lang="en-US" sz="1000"/>
              <a:t>Model 2.0 for Y    (1 variable,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152.79528157260188</c:v>
              </c:pt>
              <c:pt idx="1">
                <c:v>168.06719834143894</c:v>
              </c:pt>
              <c:pt idx="2">
                <c:v>153.69362961782758</c:v>
              </c:pt>
              <c:pt idx="3">
                <c:v>160.88041397963326</c:v>
              </c:pt>
              <c:pt idx="4">
                <c:v>155.49032570827902</c:v>
              </c:pt>
              <c:pt idx="5">
                <c:v>151.89693352737618</c:v>
              </c:pt>
              <c:pt idx="6">
                <c:v>161.77876202485896</c:v>
              </c:pt>
              <c:pt idx="7">
                <c:v>168.06719834143894</c:v>
              </c:pt>
              <c:pt idx="8">
                <c:v>158.18536984395615</c:v>
              </c:pt>
              <c:pt idx="9">
                <c:v>167.16885029621324</c:v>
              </c:pt>
              <c:pt idx="10">
                <c:v>171.66059052234181</c:v>
              </c:pt>
              <c:pt idx="11">
                <c:v>153.69362961782758</c:v>
              </c:pt>
              <c:pt idx="12">
                <c:v>170.76224247711608</c:v>
              </c:pt>
              <c:pt idx="13">
                <c:v>168.96554638666467</c:v>
              </c:pt>
              <c:pt idx="14">
                <c:v>174.35563465801891</c:v>
              </c:pt>
              <c:pt idx="15">
                <c:v>153.69362961782758</c:v>
              </c:pt>
              <c:pt idx="16">
                <c:v>160.88041397963326</c:v>
              </c:pt>
              <c:pt idx="17">
                <c:v>159.98206593440756</c:v>
              </c:pt>
              <c:pt idx="18">
                <c:v>168.06719834143894</c:v>
              </c:pt>
              <c:pt idx="19">
                <c:v>143.81180112034477</c:v>
              </c:pt>
              <c:pt idx="20">
                <c:v>169.86389443189037</c:v>
              </c:pt>
              <c:pt idx="21">
                <c:v>153.69362961782758</c:v>
              </c:pt>
              <c:pt idx="22">
                <c:v>188.72920338163027</c:v>
              </c:pt>
              <c:pt idx="23">
                <c:v>150.10023743692474</c:v>
              </c:pt>
              <c:pt idx="24">
                <c:v>134.82832066808768</c:v>
              </c:pt>
              <c:pt idx="25">
                <c:v>153.69362961782758</c:v>
              </c:pt>
              <c:pt idx="26">
                <c:v>161.77876202485896</c:v>
              </c:pt>
              <c:pt idx="27">
                <c:v>166.27050225098753</c:v>
              </c:pt>
              <c:pt idx="28">
                <c:v>161.77876202485896</c:v>
              </c:pt>
              <c:pt idx="29">
                <c:v>170.76224247711608</c:v>
              </c:pt>
              <c:pt idx="30">
                <c:v>167.16885029621324</c:v>
              </c:pt>
              <c:pt idx="31">
                <c:v>169.86389443189037</c:v>
              </c:pt>
              <c:pt idx="32">
                <c:v>164.4738061605361</c:v>
              </c:pt>
              <c:pt idx="33">
                <c:v>159.98206593440756</c:v>
              </c:pt>
              <c:pt idx="34">
                <c:v>169.86389443189037</c:v>
              </c:pt>
              <c:pt idx="35">
                <c:v>153.69362961782758</c:v>
              </c:pt>
              <c:pt idx="36">
                <c:v>150.99858548215045</c:v>
              </c:pt>
              <c:pt idx="37">
                <c:v>160.88041397963326</c:v>
              </c:pt>
              <c:pt idx="38">
                <c:v>160.88041397963326</c:v>
              </c:pt>
              <c:pt idx="39">
                <c:v>169.86389443189037</c:v>
              </c:pt>
              <c:pt idx="40">
                <c:v>159.08371788918186</c:v>
              </c:pt>
              <c:pt idx="41">
                <c:v>166.27050225098753</c:v>
              </c:pt>
              <c:pt idx="42">
                <c:v>161.77876202485896</c:v>
              </c:pt>
              <c:pt idx="43">
                <c:v>160.88041397963326</c:v>
              </c:pt>
              <c:pt idx="44">
                <c:v>145.6084972107962</c:v>
              </c:pt>
              <c:pt idx="45">
                <c:v>161.77876202485896</c:v>
              </c:pt>
              <c:pt idx="46">
                <c:v>154.59197766305329</c:v>
              </c:pt>
              <c:pt idx="47">
                <c:v>160.88041397963326</c:v>
              </c:pt>
              <c:pt idx="48">
                <c:v>157.28702179873042</c:v>
              </c:pt>
              <c:pt idx="49">
                <c:v>172.55893856756751</c:v>
              </c:pt>
              <c:pt idx="50">
                <c:v>168.96554638666467</c:v>
              </c:pt>
              <c:pt idx="51">
                <c:v>168.96554638666467</c:v>
              </c:pt>
              <c:pt idx="52">
                <c:v>160.88041397963326</c:v>
              </c:pt>
              <c:pt idx="53">
                <c:v>173.45728661279321</c:v>
              </c:pt>
              <c:pt idx="54">
                <c:v>170.76224247711608</c:v>
              </c:pt>
              <c:pt idx="55">
                <c:v>155.49032570827902</c:v>
              </c:pt>
              <c:pt idx="56">
                <c:v>165.37215420576183</c:v>
              </c:pt>
              <c:pt idx="57">
                <c:v>175.25398270324462</c:v>
              </c:pt>
              <c:pt idx="58">
                <c:v>165.37215420576183</c:v>
              </c:pt>
              <c:pt idx="59">
                <c:v>163.5754581153104</c:v>
              </c:pt>
              <c:pt idx="60">
                <c:v>165.37215420576183</c:v>
              </c:pt>
              <c:pt idx="61">
                <c:v>175.25398270324462</c:v>
              </c:pt>
              <c:pt idx="62">
                <c:v>163.5754581153104</c:v>
              </c:pt>
              <c:pt idx="63">
                <c:v>166.27050225098753</c:v>
              </c:pt>
              <c:pt idx="64">
                <c:v>150.10023743692474</c:v>
              </c:pt>
              <c:pt idx="65">
                <c:v>161.77876202485896</c:v>
              </c:pt>
              <c:pt idx="66">
                <c:v>145.6084972107962</c:v>
              </c:pt>
              <c:pt idx="67">
                <c:v>159.08371788918186</c:v>
              </c:pt>
              <c:pt idx="68">
                <c:v>164.4738061605361</c:v>
              </c:pt>
              <c:pt idx="69">
                <c:v>157.28702179873042</c:v>
              </c:pt>
              <c:pt idx="70">
                <c:v>161.77876202485896</c:v>
              </c:pt>
              <c:pt idx="71">
                <c:v>142.01510502989336</c:v>
              </c:pt>
              <c:pt idx="72">
                <c:v>158.18536984395615</c:v>
              </c:pt>
              <c:pt idx="73">
                <c:v>155.49032570827902</c:v>
              </c:pt>
              <c:pt idx="74">
                <c:v>168.96554638666467</c:v>
              </c:pt>
              <c:pt idx="75">
                <c:v>167.16885029621324</c:v>
              </c:pt>
              <c:pt idx="76">
                <c:v>157.28702179873042</c:v>
              </c:pt>
              <c:pt idx="77">
                <c:v>149.20188939169904</c:v>
              </c:pt>
              <c:pt idx="78">
                <c:v>155.49032570827902</c:v>
              </c:pt>
              <c:pt idx="79">
                <c:v>165.37215420576183</c:v>
              </c:pt>
              <c:pt idx="80">
                <c:v>178.84737488414748</c:v>
              </c:pt>
              <c:pt idx="81">
                <c:v>166.27050225098753</c:v>
              </c:pt>
              <c:pt idx="82">
                <c:v>176.15233074847035</c:v>
              </c:pt>
              <c:pt idx="83">
                <c:v>169.86389443189037</c:v>
              </c:pt>
              <c:pt idx="84">
                <c:v>171.66059052234181</c:v>
              </c:pt>
              <c:pt idx="85">
                <c:v>162.67711007008469</c:v>
              </c:pt>
              <c:pt idx="86">
                <c:v>149.20188939169904</c:v>
              </c:pt>
              <c:pt idx="87">
                <c:v>171.66059052234181</c:v>
              </c:pt>
              <c:pt idx="88">
                <c:v>159.08371788918186</c:v>
              </c:pt>
              <c:pt idx="89">
                <c:v>163.5754581153104</c:v>
              </c:pt>
              <c:pt idx="90">
                <c:v>154.59197766305329</c:v>
              </c:pt>
              <c:pt idx="91">
                <c:v>167.16885029621324</c:v>
              </c:pt>
              <c:pt idx="92">
                <c:v>143.81180112034477</c:v>
              </c:pt>
              <c:pt idx="93">
                <c:v>168.96554638666467</c:v>
              </c:pt>
              <c:pt idx="94">
                <c:v>160.88041397963326</c:v>
              </c:pt>
              <c:pt idx="95">
                <c:v>166.27050225098753</c:v>
              </c:pt>
              <c:pt idx="96">
                <c:v>143.81180112034477</c:v>
              </c:pt>
              <c:pt idx="97">
                <c:v>174.35563465801891</c:v>
              </c:pt>
              <c:pt idx="98">
                <c:v>173.45728661279321</c:v>
              </c:pt>
              <c:pt idx="99">
                <c:v>156.38867375350472</c:v>
              </c:pt>
              <c:pt idx="100">
                <c:v>160.88041397963326</c:v>
              </c:pt>
              <c:pt idx="101">
                <c:v>177.94902683892175</c:v>
              </c:pt>
              <c:pt idx="102">
                <c:v>164.4738061605361</c:v>
              </c:pt>
              <c:pt idx="103">
                <c:v>157.28702179873042</c:v>
              </c:pt>
              <c:pt idx="104">
                <c:v>176.15233074847035</c:v>
              </c:pt>
              <c:pt idx="105">
                <c:v>181.54241901982459</c:v>
              </c:pt>
              <c:pt idx="106">
                <c:v>159.08371788918186</c:v>
              </c:pt>
              <c:pt idx="107">
                <c:v>160.88041397963326</c:v>
              </c:pt>
              <c:pt idx="108">
                <c:v>164.4738061605361</c:v>
              </c:pt>
              <c:pt idx="109">
                <c:v>159.08371788918186</c:v>
              </c:pt>
              <c:pt idx="110">
                <c:v>163.5754581153104</c:v>
              </c:pt>
              <c:pt idx="111">
                <c:v>162.67711007008469</c:v>
              </c:pt>
              <c:pt idx="112">
                <c:v>148.30354134647334</c:v>
              </c:pt>
              <c:pt idx="113">
                <c:v>155.49032570827902</c:v>
              </c:pt>
              <c:pt idx="114">
                <c:v>152.79528157260188</c:v>
              </c:pt>
              <c:pt idx="115">
                <c:v>151.89693352737618</c:v>
              </c:pt>
              <c:pt idx="116">
                <c:v>150.99858548215045</c:v>
              </c:pt>
              <c:pt idx="117">
                <c:v>169.86389443189037</c:v>
              </c:pt>
              <c:pt idx="118">
                <c:v>173.45728661279321</c:v>
              </c:pt>
              <c:pt idx="119">
                <c:v>157.28702179873042</c:v>
              </c:pt>
              <c:pt idx="120">
                <c:v>168.06719834143894</c:v>
              </c:pt>
              <c:pt idx="121">
                <c:v>170.76224247711608</c:v>
              </c:pt>
              <c:pt idx="122">
                <c:v>176.15233074847035</c:v>
              </c:pt>
              <c:pt idx="123">
                <c:v>165.37215420576183</c:v>
              </c:pt>
              <c:pt idx="124">
                <c:v>148.30354134647334</c:v>
              </c:pt>
              <c:pt idx="125">
                <c:v>160.88041397963326</c:v>
              </c:pt>
              <c:pt idx="126">
                <c:v>152.79528157260188</c:v>
              </c:pt>
              <c:pt idx="127">
                <c:v>168.06719834143894</c:v>
              </c:pt>
              <c:pt idx="128">
                <c:v>160.88041397963326</c:v>
              </c:pt>
              <c:pt idx="129">
                <c:v>150.10023743692474</c:v>
              </c:pt>
              <c:pt idx="130">
                <c:v>165.37215420576183</c:v>
              </c:pt>
              <c:pt idx="131">
                <c:v>161.77876202485896</c:v>
              </c:pt>
              <c:pt idx="132">
                <c:v>172.55893856756751</c:v>
              </c:pt>
              <c:pt idx="133">
                <c:v>169.86389443189037</c:v>
              </c:pt>
              <c:pt idx="134">
                <c:v>160.88041397963326</c:v>
              </c:pt>
              <c:pt idx="135">
                <c:v>166.27050225098753</c:v>
              </c:pt>
              <c:pt idx="136">
                <c:v>148.30354134647334</c:v>
              </c:pt>
              <c:pt idx="137">
                <c:v>168.06719834143894</c:v>
              </c:pt>
              <c:pt idx="138">
                <c:v>153.69362961782758</c:v>
              </c:pt>
              <c:pt idx="139">
                <c:v>158.18536984395615</c:v>
              </c:pt>
              <c:pt idx="140">
                <c:v>162.67711007008469</c:v>
              </c:pt>
              <c:pt idx="141">
                <c:v>152.79528157260188</c:v>
              </c:pt>
              <c:pt idx="142">
                <c:v>162.67711007008469</c:v>
              </c:pt>
              <c:pt idx="143">
                <c:v>168.96554638666467</c:v>
              </c:pt>
              <c:pt idx="144">
                <c:v>162.67711007008469</c:v>
              </c:pt>
              <c:pt idx="145">
                <c:v>148.30354134647334</c:v>
              </c:pt>
              <c:pt idx="146">
                <c:v>158.18536984395615</c:v>
              </c:pt>
              <c:pt idx="147">
                <c:v>159.98206593440756</c:v>
              </c:pt>
              <c:pt idx="148">
                <c:v>137.52336480376479</c:v>
              </c:pt>
              <c:pt idx="149">
                <c:v>144.7101491655705</c:v>
              </c:pt>
              <c:pt idx="150">
                <c:v>165.37215420576183</c:v>
              </c:pt>
              <c:pt idx="151">
                <c:v>155.49032570827902</c:v>
              </c:pt>
              <c:pt idx="152">
                <c:v>168.96554638666467</c:v>
              </c:pt>
              <c:pt idx="153">
                <c:v>154.59197766305329</c:v>
              </c:pt>
              <c:pt idx="154">
                <c:v>162.67711007008469</c:v>
              </c:pt>
              <c:pt idx="155">
                <c:v>159.98206593440756</c:v>
              </c:pt>
              <c:pt idx="156">
                <c:v>156.38867375350472</c:v>
              </c:pt>
              <c:pt idx="157">
                <c:v>168.06719834143894</c:v>
              </c:pt>
              <c:pt idx="158">
                <c:v>149.20188939169904</c:v>
              </c:pt>
              <c:pt idx="159">
                <c:v>155.49032570827902</c:v>
              </c:pt>
              <c:pt idx="160">
                <c:v>175.25398270324462</c:v>
              </c:pt>
              <c:pt idx="161">
                <c:v>150.99858548215045</c:v>
              </c:pt>
              <c:pt idx="162">
                <c:v>158.18536984395615</c:v>
              </c:pt>
              <c:pt idx="163">
                <c:v>156.38867375350472</c:v>
              </c:pt>
              <c:pt idx="164">
                <c:v>158.18536984395615</c:v>
              </c:pt>
              <c:pt idx="165">
                <c:v>157.28702179873042</c:v>
              </c:pt>
              <c:pt idx="166">
                <c:v>171.66059052234181</c:v>
              </c:pt>
              <c:pt idx="167">
                <c:v>158.18536984395615</c:v>
              </c:pt>
              <c:pt idx="168">
                <c:v>160.88041397963326</c:v>
              </c:pt>
              <c:pt idx="169">
                <c:v>167.16885029621324</c:v>
              </c:pt>
              <c:pt idx="170">
                <c:v>161.77876202485896</c:v>
              </c:pt>
              <c:pt idx="171">
                <c:v>167.16885029621324</c:v>
              </c:pt>
              <c:pt idx="172">
                <c:v>174.35563465801891</c:v>
              </c:pt>
              <c:pt idx="173">
                <c:v>167.16885029621324</c:v>
              </c:pt>
              <c:pt idx="174">
                <c:v>156.38867375350472</c:v>
              </c:pt>
              <c:pt idx="175">
                <c:v>168.06719834143894</c:v>
              </c:pt>
              <c:pt idx="176">
                <c:v>173.45728661279321</c:v>
              </c:pt>
              <c:pt idx="177">
                <c:v>157.28702179873042</c:v>
              </c:pt>
              <c:pt idx="178">
                <c:v>157.28702179873042</c:v>
              </c:pt>
              <c:pt idx="179">
                <c:v>184.23746315550173</c:v>
              </c:pt>
              <c:pt idx="180">
                <c:v>165.37215420576183</c:v>
              </c:pt>
              <c:pt idx="181">
                <c:v>167.16885029621324</c:v>
              </c:pt>
              <c:pt idx="182">
                <c:v>153.69362961782758</c:v>
              </c:pt>
              <c:pt idx="183">
                <c:v>159.98206593440756</c:v>
              </c:pt>
              <c:pt idx="184">
                <c:v>168.06719834143894</c:v>
              </c:pt>
              <c:pt idx="185">
                <c:v>144.7101491655705</c:v>
              </c:pt>
              <c:pt idx="186">
                <c:v>164.4738061605361</c:v>
              </c:pt>
              <c:pt idx="187">
                <c:v>153.69362961782758</c:v>
              </c:pt>
              <c:pt idx="188">
                <c:v>151.89693352737618</c:v>
              </c:pt>
              <c:pt idx="189">
                <c:v>181.54241901982459</c:v>
              </c:pt>
              <c:pt idx="190">
                <c:v>159.08371788918186</c:v>
              </c:pt>
              <c:pt idx="191">
                <c:v>150.10023743692474</c:v>
              </c:pt>
              <c:pt idx="192">
                <c:v>159.98206593440756</c:v>
              </c:pt>
              <c:pt idx="193">
                <c:v>143.81180112034477</c:v>
              </c:pt>
              <c:pt idx="194">
                <c:v>186.03415924595316</c:v>
              </c:pt>
              <c:pt idx="195">
                <c:v>153.69362961782758</c:v>
              </c:pt>
              <c:pt idx="196">
                <c:v>158.18536984395615</c:v>
              </c:pt>
              <c:pt idx="197">
                <c:v>172.55893856756751</c:v>
              </c:pt>
              <c:pt idx="198">
                <c:v>159.08371788918186</c:v>
              </c:pt>
              <c:pt idx="199">
                <c:v>159.08371788918186</c:v>
              </c:pt>
              <c:pt idx="200">
                <c:v>158.18536984395615</c:v>
              </c:pt>
              <c:pt idx="201">
                <c:v>165.37215420576183</c:v>
              </c:pt>
              <c:pt idx="202">
                <c:v>176.15233074847035</c:v>
              </c:pt>
              <c:pt idx="203">
                <c:v>174.35563465801891</c:v>
              </c:pt>
              <c:pt idx="204">
                <c:v>173.45728661279321</c:v>
              </c:pt>
              <c:pt idx="205">
                <c:v>164.4738061605361</c:v>
              </c:pt>
              <c:pt idx="206">
                <c:v>160.88041397963326</c:v>
              </c:pt>
              <c:pt idx="207">
                <c:v>176.15233074847035</c:v>
              </c:pt>
              <c:pt idx="208">
                <c:v>164.4738061605361</c:v>
              </c:pt>
              <c:pt idx="209">
                <c:v>154.59197766305329</c:v>
              </c:pt>
              <c:pt idx="210">
                <c:v>159.08371788918186</c:v>
              </c:pt>
              <c:pt idx="211">
                <c:v>150.10023743692474</c:v>
              </c:pt>
              <c:pt idx="212">
                <c:v>168.06719834143894</c:v>
              </c:pt>
              <c:pt idx="213">
                <c:v>159.98206593440756</c:v>
              </c:pt>
              <c:pt idx="214">
                <c:v>157.28702179873042</c:v>
              </c:pt>
              <c:pt idx="215">
                <c:v>158.18536984395615</c:v>
              </c:pt>
              <c:pt idx="216">
                <c:v>163.5754581153104</c:v>
              </c:pt>
              <c:pt idx="217">
                <c:v>154.59197766305329</c:v>
              </c:pt>
              <c:pt idx="218">
                <c:v>160.88041397963326</c:v>
              </c:pt>
              <c:pt idx="219">
                <c:v>159.98206593440756</c:v>
              </c:pt>
              <c:pt idx="220">
                <c:v>173.45728661279321</c:v>
              </c:pt>
              <c:pt idx="221">
                <c:v>175.25398270324462</c:v>
              </c:pt>
              <c:pt idx="222">
                <c:v>146.5068452560219</c:v>
              </c:pt>
              <c:pt idx="223">
                <c:v>156.38867375350472</c:v>
              </c:pt>
              <c:pt idx="224">
                <c:v>152.79528157260188</c:v>
              </c:pt>
              <c:pt idx="225">
                <c:v>145.6084972107962</c:v>
              </c:pt>
              <c:pt idx="226">
                <c:v>152.79528157260188</c:v>
              </c:pt>
              <c:pt idx="227">
                <c:v>155.49032570827902</c:v>
              </c:pt>
              <c:pt idx="228">
                <c:v>162.67711007008469</c:v>
              </c:pt>
              <c:pt idx="229">
                <c:v>133.03162457763625</c:v>
              </c:pt>
              <c:pt idx="230">
                <c:v>148.30354134647334</c:v>
              </c:pt>
              <c:pt idx="231">
                <c:v>163.5754581153104</c:v>
              </c:pt>
              <c:pt idx="232">
                <c:v>174.35563465801891</c:v>
              </c:pt>
              <c:pt idx="233">
                <c:v>172.55893856756751</c:v>
              </c:pt>
              <c:pt idx="234">
                <c:v>164.4738061605361</c:v>
              </c:pt>
              <c:pt idx="235">
                <c:v>159.98206593440756</c:v>
              </c:pt>
              <c:pt idx="236">
                <c:v>172.55893856756751</c:v>
              </c:pt>
              <c:pt idx="237">
                <c:v>163.5754581153104</c:v>
              </c:pt>
              <c:pt idx="238">
                <c:v>171.66059052234181</c:v>
              </c:pt>
              <c:pt idx="239">
                <c:v>171.66059052234181</c:v>
              </c:pt>
              <c:pt idx="240">
                <c:v>162.67711007008469</c:v>
              </c:pt>
              <c:pt idx="241">
                <c:v>159.98206593440756</c:v>
              </c:pt>
              <c:pt idx="242">
                <c:v>170.76224247711608</c:v>
              </c:pt>
              <c:pt idx="243">
                <c:v>154.59197766305329</c:v>
              </c:pt>
              <c:pt idx="244">
                <c:v>166.27050225098753</c:v>
              </c:pt>
            </c:numLit>
          </c:xVal>
          <c:yVal>
            <c:numLit>
              <c:formatCode>General</c:formatCode>
              <c:ptCount val="245"/>
              <c:pt idx="0">
                <c:v>5.2047184273981202</c:v>
              </c:pt>
              <c:pt idx="1">
                <c:v>-3.0671983414389388</c:v>
              </c:pt>
              <c:pt idx="2">
                <c:v>-1.6936296178275825</c:v>
              </c:pt>
              <c:pt idx="3">
                <c:v>-6.8804139796332606</c:v>
              </c:pt>
              <c:pt idx="4">
                <c:v>-2.4903257082790162</c:v>
              </c:pt>
              <c:pt idx="5">
                <c:v>-5.8969335273761772</c:v>
              </c:pt>
              <c:pt idx="6">
                <c:v>2.2212379751410367</c:v>
              </c:pt>
              <c:pt idx="7">
                <c:v>1.9328016585610612</c:v>
              </c:pt>
              <c:pt idx="8">
                <c:v>27.814630156043847</c:v>
              </c:pt>
              <c:pt idx="9">
                <c:v>-0.16885029621323611</c:v>
              </c:pt>
              <c:pt idx="10">
                <c:v>2.3394094776581937</c:v>
              </c:pt>
              <c:pt idx="11">
                <c:v>9.3063703821724175</c:v>
              </c:pt>
              <c:pt idx="12">
                <c:v>3.2377575228839248</c:v>
              </c:pt>
              <c:pt idx="13">
                <c:v>14.03445361333533</c:v>
              </c:pt>
              <c:pt idx="14">
                <c:v>0.64436534198108575</c:v>
              </c:pt>
              <c:pt idx="15">
                <c:v>7.3063703821724175</c:v>
              </c:pt>
              <c:pt idx="16">
                <c:v>-4.8804139796332606</c:v>
              </c:pt>
              <c:pt idx="17">
                <c:v>1.017934065592442</c:v>
              </c:pt>
              <c:pt idx="18">
                <c:v>-2.0671983414389388</c:v>
              </c:pt>
              <c:pt idx="19">
                <c:v>-2.8118011203447679</c:v>
              </c:pt>
              <c:pt idx="20">
                <c:v>-9.8638944318903725</c:v>
              </c:pt>
              <c:pt idx="21">
                <c:v>23.306370382172418</c:v>
              </c:pt>
              <c:pt idx="22">
                <c:v>1.2707966183697295</c:v>
              </c:pt>
              <c:pt idx="23">
                <c:v>5.8997625630752566</c:v>
              </c:pt>
              <c:pt idx="24">
                <c:v>-0.82832066808768445</c:v>
              </c:pt>
              <c:pt idx="25">
                <c:v>-7.6936296178275825</c:v>
              </c:pt>
              <c:pt idx="26">
                <c:v>1.2212379751410367</c:v>
              </c:pt>
              <c:pt idx="27">
                <c:v>-7.2705022509875334</c:v>
              </c:pt>
              <c:pt idx="28">
                <c:v>0.22123797514103671</c:v>
              </c:pt>
              <c:pt idx="29">
                <c:v>-4.7622424771160752</c:v>
              </c:pt>
              <c:pt idx="30">
                <c:v>-30.168850296213236</c:v>
              </c:pt>
              <c:pt idx="31">
                <c:v>-6.8638944318903725</c:v>
              </c:pt>
              <c:pt idx="32">
                <c:v>-3.4738061605360997</c:v>
              </c:pt>
              <c:pt idx="33">
                <c:v>-1.982065934407558</c:v>
              </c:pt>
              <c:pt idx="34">
                <c:v>-1.8638944318903725</c:v>
              </c:pt>
              <c:pt idx="35">
                <c:v>-1.6936296178275825</c:v>
              </c:pt>
              <c:pt idx="36">
                <c:v>-7.9985854821504461</c:v>
              </c:pt>
              <c:pt idx="37">
                <c:v>-6.8804139796332606</c:v>
              </c:pt>
              <c:pt idx="38">
                <c:v>2.1195860203667394</c:v>
              </c:pt>
              <c:pt idx="39">
                <c:v>1.1361055681096275</c:v>
              </c:pt>
              <c:pt idx="40">
                <c:v>-8.0837178891818553</c:v>
              </c:pt>
              <c:pt idx="41">
                <c:v>4.7294977490124666</c:v>
              </c:pt>
              <c:pt idx="42">
                <c:v>-5.7787620248589633</c:v>
              </c:pt>
              <c:pt idx="43">
                <c:v>2.1195860203667394</c:v>
              </c:pt>
              <c:pt idx="44">
                <c:v>1.3915027892037983</c:v>
              </c:pt>
              <c:pt idx="45">
                <c:v>32.221237975141037</c:v>
              </c:pt>
              <c:pt idx="46">
                <c:v>-3.5919776630532851</c:v>
              </c:pt>
              <c:pt idx="47">
                <c:v>-0.88041397963326062</c:v>
              </c:pt>
              <c:pt idx="48">
                <c:v>1.7129782012695784</c:v>
              </c:pt>
              <c:pt idx="49">
                <c:v>0.44106143243249107</c:v>
              </c:pt>
              <c:pt idx="50">
                <c:v>6.0344536133353301</c:v>
              </c:pt>
              <c:pt idx="51">
                <c:v>6.0344536133353301</c:v>
              </c:pt>
              <c:pt idx="52">
                <c:v>13.119586020366739</c:v>
              </c:pt>
              <c:pt idx="53">
                <c:v>14.542713387206788</c:v>
              </c:pt>
              <c:pt idx="54">
                <c:v>14.237757522883925</c:v>
              </c:pt>
              <c:pt idx="55">
                <c:v>8.5096742917209838</c:v>
              </c:pt>
              <c:pt idx="56">
                <c:v>-2.3721542057618308</c:v>
              </c:pt>
              <c:pt idx="57">
                <c:v>0.74601729675538309</c:v>
              </c:pt>
              <c:pt idx="58">
                <c:v>6.6278457942381692</c:v>
              </c:pt>
              <c:pt idx="59">
                <c:v>-41.575458115310397</c:v>
              </c:pt>
              <c:pt idx="60">
                <c:v>2.6278457942381692</c:v>
              </c:pt>
              <c:pt idx="61">
                <c:v>-4.2539827032446169</c:v>
              </c:pt>
              <c:pt idx="62">
                <c:v>7.424541884689603</c:v>
              </c:pt>
              <c:pt idx="63">
                <c:v>5.7294977490124666</c:v>
              </c:pt>
              <c:pt idx="64">
                <c:v>-0.10023743692474341</c:v>
              </c:pt>
              <c:pt idx="65">
                <c:v>10.221237975141037</c:v>
              </c:pt>
              <c:pt idx="66">
                <c:v>-1.6084972107962017</c:v>
              </c:pt>
              <c:pt idx="67">
                <c:v>-5.0837178891818553</c:v>
              </c:pt>
              <c:pt idx="68">
                <c:v>-4.4738061605360997</c:v>
              </c:pt>
              <c:pt idx="69">
                <c:v>1.7129782012695784</c:v>
              </c:pt>
              <c:pt idx="70">
                <c:v>-5.7787620248589633</c:v>
              </c:pt>
              <c:pt idx="71">
                <c:v>-1.0151050298933626</c:v>
              </c:pt>
              <c:pt idx="72">
                <c:v>-4.1853698439561526</c:v>
              </c:pt>
              <c:pt idx="73">
                <c:v>-1.4903257082790162</c:v>
              </c:pt>
              <c:pt idx="74">
                <c:v>-10.96554638666467</c:v>
              </c:pt>
              <c:pt idx="75">
                <c:v>-11.168850296213236</c:v>
              </c:pt>
              <c:pt idx="76">
                <c:v>-6.2870217987304216</c:v>
              </c:pt>
              <c:pt idx="77">
                <c:v>-10.201889391699041</c:v>
              </c:pt>
              <c:pt idx="78">
                <c:v>-27.490325708279016</c:v>
              </c:pt>
              <c:pt idx="79">
                <c:v>-0.37215420576183078</c:v>
              </c:pt>
              <c:pt idx="80">
                <c:v>-1.8473748841474844</c:v>
              </c:pt>
              <c:pt idx="81">
                <c:v>7.7294977490124666</c:v>
              </c:pt>
              <c:pt idx="82">
                <c:v>3.847669251529652</c:v>
              </c:pt>
              <c:pt idx="83">
                <c:v>-0.86389443189037252</c:v>
              </c:pt>
              <c:pt idx="84">
                <c:v>-2.6605905223418063</c:v>
              </c:pt>
              <c:pt idx="85">
                <c:v>0.32288992991530563</c:v>
              </c:pt>
              <c:pt idx="86">
                <c:v>3.7981106083009593</c:v>
              </c:pt>
              <c:pt idx="87">
                <c:v>2.3394094776581937</c:v>
              </c:pt>
              <c:pt idx="88">
                <c:v>0.9162821108181447</c:v>
              </c:pt>
              <c:pt idx="89">
                <c:v>-1.575458115310397</c:v>
              </c:pt>
              <c:pt idx="90">
                <c:v>7.4080223369467149</c:v>
              </c:pt>
              <c:pt idx="91">
                <c:v>-4.1688502962132361</c:v>
              </c:pt>
              <c:pt idx="92">
                <c:v>4.1881988796552321</c:v>
              </c:pt>
              <c:pt idx="93">
                <c:v>-2.9655463866646699</c:v>
              </c:pt>
              <c:pt idx="94">
                <c:v>6.1195860203667394</c:v>
              </c:pt>
              <c:pt idx="95">
                <c:v>11.729497749012467</c:v>
              </c:pt>
              <c:pt idx="96">
                <c:v>7.1881988796552321</c:v>
              </c:pt>
              <c:pt idx="97">
                <c:v>-1.3556346580189143</c:v>
              </c:pt>
              <c:pt idx="98">
                <c:v>-2.4572866127932116</c:v>
              </c:pt>
              <c:pt idx="99">
                <c:v>-0.38867375350471889</c:v>
              </c:pt>
              <c:pt idx="100">
                <c:v>3.1195860203667394</c:v>
              </c:pt>
              <c:pt idx="101">
                <c:v>8.0509731610782467</c:v>
              </c:pt>
              <c:pt idx="102">
                <c:v>-0.4738061605360997</c:v>
              </c:pt>
              <c:pt idx="103">
                <c:v>10.712978201269578</c:v>
              </c:pt>
              <c:pt idx="104">
                <c:v>2.847669251529652</c:v>
              </c:pt>
              <c:pt idx="105">
                <c:v>4.4575809801754076</c:v>
              </c:pt>
              <c:pt idx="106">
                <c:v>8.9162821108181447</c:v>
              </c:pt>
              <c:pt idx="107">
                <c:v>9.1195860203667394</c:v>
              </c:pt>
              <c:pt idx="108">
                <c:v>38.5261938394639</c:v>
              </c:pt>
              <c:pt idx="109">
                <c:v>10.916282110818145</c:v>
              </c:pt>
              <c:pt idx="110">
                <c:v>0.42454188468960297</c:v>
              </c:pt>
              <c:pt idx="111">
                <c:v>7.3228899299153056</c:v>
              </c:pt>
              <c:pt idx="112">
                <c:v>1.6964586535266619</c:v>
              </c:pt>
              <c:pt idx="113">
                <c:v>-5.4903257082790162</c:v>
              </c:pt>
              <c:pt idx="114">
                <c:v>-7.7952815726018798</c:v>
              </c:pt>
              <c:pt idx="115">
                <c:v>-0.89693352737617715</c:v>
              </c:pt>
              <c:pt idx="116">
                <c:v>1.0014145178495539</c:v>
              </c:pt>
              <c:pt idx="117">
                <c:v>-8.8638944318903725</c:v>
              </c:pt>
              <c:pt idx="118">
                <c:v>-2.4572866127932116</c:v>
              </c:pt>
              <c:pt idx="119">
                <c:v>2.7129782012695784</c:v>
              </c:pt>
              <c:pt idx="120">
                <c:v>4.9328016585610612</c:v>
              </c:pt>
              <c:pt idx="121">
                <c:v>-4.7622424771160752</c:v>
              </c:pt>
              <c:pt idx="122">
                <c:v>2.847669251529652</c:v>
              </c:pt>
              <c:pt idx="123">
                <c:v>2.6278457942381692</c:v>
              </c:pt>
              <c:pt idx="124">
                <c:v>9.6964586535266619</c:v>
              </c:pt>
              <c:pt idx="125">
                <c:v>-30.880413979633261</c:v>
              </c:pt>
              <c:pt idx="126">
                <c:v>-10.79528157260188</c:v>
              </c:pt>
              <c:pt idx="127">
                <c:v>-11.067198341438939</c:v>
              </c:pt>
              <c:pt idx="128">
                <c:v>-3.8804139796332606</c:v>
              </c:pt>
              <c:pt idx="129">
                <c:v>-0.10023743692474341</c:v>
              </c:pt>
              <c:pt idx="130">
                <c:v>-3.3721542057618308</c:v>
              </c:pt>
              <c:pt idx="131">
                <c:v>-6.7787620248589633</c:v>
              </c:pt>
              <c:pt idx="132">
                <c:v>-4.5589385675675089</c:v>
              </c:pt>
              <c:pt idx="133">
                <c:v>-9.8638944318903725</c:v>
              </c:pt>
              <c:pt idx="134">
                <c:v>0.11958602036673938</c:v>
              </c:pt>
              <c:pt idx="135">
                <c:v>3.7294977490124666</c:v>
              </c:pt>
              <c:pt idx="136">
                <c:v>-1.3035413464733381</c:v>
              </c:pt>
              <c:pt idx="137">
                <c:v>-6.7198341438938769E-2</c:v>
              </c:pt>
              <c:pt idx="138">
                <c:v>11.306370382172418</c:v>
              </c:pt>
              <c:pt idx="139">
                <c:v>9.8146301560438474</c:v>
              </c:pt>
              <c:pt idx="140">
                <c:v>-5.6771100700846944</c:v>
              </c:pt>
              <c:pt idx="141">
                <c:v>-10.79528157260188</c:v>
              </c:pt>
              <c:pt idx="142">
                <c:v>-5.6771100700846944</c:v>
              </c:pt>
              <c:pt idx="143">
                <c:v>1.0344536133353301</c:v>
              </c:pt>
              <c:pt idx="144">
                <c:v>0.32288992991530563</c:v>
              </c:pt>
              <c:pt idx="145">
                <c:v>-2.3035413464733381</c:v>
              </c:pt>
              <c:pt idx="146">
                <c:v>-3.1853698439561526</c:v>
              </c:pt>
              <c:pt idx="147">
                <c:v>9.017934065592442</c:v>
              </c:pt>
              <c:pt idx="148">
                <c:v>-0.52336480376479244</c:v>
              </c:pt>
              <c:pt idx="149">
                <c:v>-8.710149165570499</c:v>
              </c:pt>
              <c:pt idx="150">
                <c:v>-15.372154205761831</c:v>
              </c:pt>
              <c:pt idx="151">
                <c:v>-12.490325708279016</c:v>
              </c:pt>
              <c:pt idx="152">
                <c:v>-5.9655463866646699</c:v>
              </c:pt>
              <c:pt idx="153">
                <c:v>0.40802233694671486</c:v>
              </c:pt>
              <c:pt idx="154">
                <c:v>1.3228899299153056</c:v>
              </c:pt>
              <c:pt idx="155">
                <c:v>-3.982065934407558</c:v>
              </c:pt>
              <c:pt idx="156">
                <c:v>-4.3886737535047189</c:v>
              </c:pt>
              <c:pt idx="157">
                <c:v>-6.0671983414389388</c:v>
              </c:pt>
              <c:pt idx="158">
                <c:v>5.7981106083009593</c:v>
              </c:pt>
              <c:pt idx="159">
                <c:v>1.5096742917209838</c:v>
              </c:pt>
              <c:pt idx="160">
                <c:v>-8.2539827032446169</c:v>
              </c:pt>
              <c:pt idx="161">
                <c:v>9.0014145178495539</c:v>
              </c:pt>
              <c:pt idx="162">
                <c:v>3.8146301560438474</c:v>
              </c:pt>
              <c:pt idx="163">
                <c:v>4.6113262464952811</c:v>
              </c:pt>
              <c:pt idx="164">
                <c:v>7.8146301560438474</c:v>
              </c:pt>
              <c:pt idx="165">
                <c:v>8.7129782012695784</c:v>
              </c:pt>
              <c:pt idx="166">
                <c:v>-5.6605905223418063</c:v>
              </c:pt>
              <c:pt idx="167">
                <c:v>-2.1853698439561526</c:v>
              </c:pt>
              <c:pt idx="168">
                <c:v>-2.8804139796332606</c:v>
              </c:pt>
              <c:pt idx="169">
                <c:v>0.83114970378676389</c:v>
              </c:pt>
              <c:pt idx="170">
                <c:v>-2.7787620248589633</c:v>
              </c:pt>
              <c:pt idx="171">
                <c:v>13.831149703786764</c:v>
              </c:pt>
              <c:pt idx="172">
                <c:v>15.644365341981086</c:v>
              </c:pt>
              <c:pt idx="173">
                <c:v>9.8311497037867639</c:v>
              </c:pt>
              <c:pt idx="174">
                <c:v>38.611326246495281</c:v>
              </c:pt>
              <c:pt idx="175">
                <c:v>-8.0671983414389388</c:v>
              </c:pt>
              <c:pt idx="176">
                <c:v>-11.457286612793212</c:v>
              </c:pt>
              <c:pt idx="177">
                <c:v>-4.2870217987304216</c:v>
              </c:pt>
              <c:pt idx="178">
                <c:v>4.7129782012695784</c:v>
              </c:pt>
              <c:pt idx="179">
                <c:v>1.7625368444982712</c:v>
              </c:pt>
              <c:pt idx="180">
                <c:v>8.6278457942381692</c:v>
              </c:pt>
              <c:pt idx="181">
                <c:v>-2.1688502962132361</c:v>
              </c:pt>
              <c:pt idx="182">
                <c:v>5.3063703821724175</c:v>
              </c:pt>
              <c:pt idx="183">
                <c:v>2.017934065592442</c:v>
              </c:pt>
              <c:pt idx="184">
                <c:v>-6.7198341438938769E-2</c:v>
              </c:pt>
              <c:pt idx="185">
                <c:v>1.289850834429501</c:v>
              </c:pt>
              <c:pt idx="186">
                <c:v>0.5261938394639003</c:v>
              </c:pt>
              <c:pt idx="187">
                <c:v>-2.6936296178275825</c:v>
              </c:pt>
              <c:pt idx="188">
                <c:v>-6.8969335273761772</c:v>
              </c:pt>
              <c:pt idx="189">
                <c:v>-3.5424190198245924</c:v>
              </c:pt>
              <c:pt idx="190">
                <c:v>6.9162821108181447</c:v>
              </c:pt>
              <c:pt idx="191">
                <c:v>21.899762563075257</c:v>
              </c:pt>
              <c:pt idx="192">
                <c:v>-10.982065934407558</c:v>
              </c:pt>
              <c:pt idx="193">
                <c:v>-4.8118011203447679</c:v>
              </c:pt>
              <c:pt idx="194">
                <c:v>-13.034159245953163</c:v>
              </c:pt>
              <c:pt idx="195">
                <c:v>4.3063703821724175</c:v>
              </c:pt>
              <c:pt idx="196">
                <c:v>-5.1853698439561526</c:v>
              </c:pt>
              <c:pt idx="197">
                <c:v>-2.5589385675675089</c:v>
              </c:pt>
              <c:pt idx="198">
                <c:v>-4.0837178891818553</c:v>
              </c:pt>
              <c:pt idx="199">
                <c:v>-5.0837178891818553</c:v>
              </c:pt>
              <c:pt idx="200">
                <c:v>-0.18536984395615264</c:v>
              </c:pt>
              <c:pt idx="201">
                <c:v>-1.3721542057618308</c:v>
              </c:pt>
              <c:pt idx="202">
                <c:v>-8.152330748470348</c:v>
              </c:pt>
              <c:pt idx="203">
                <c:v>-1.3556346580189143</c:v>
              </c:pt>
              <c:pt idx="204">
                <c:v>-2.4572866127932116</c:v>
              </c:pt>
              <c:pt idx="205">
                <c:v>0.5261938394639003</c:v>
              </c:pt>
              <c:pt idx="206">
                <c:v>3.1195860203667394</c:v>
              </c:pt>
              <c:pt idx="207">
                <c:v>-5.152330748470348</c:v>
              </c:pt>
              <c:pt idx="208">
                <c:v>8.5261938394639003</c:v>
              </c:pt>
              <c:pt idx="209">
                <c:v>3.4080223369467149</c:v>
              </c:pt>
              <c:pt idx="210">
                <c:v>-2.0837178891818553</c:v>
              </c:pt>
              <c:pt idx="211">
                <c:v>3.8997625630752566</c:v>
              </c:pt>
              <c:pt idx="212">
                <c:v>1.9328016585610612</c:v>
              </c:pt>
              <c:pt idx="213">
                <c:v>7.017934065592442</c:v>
              </c:pt>
              <c:pt idx="214">
                <c:v>-0.28702179873042155</c:v>
              </c:pt>
              <c:pt idx="215">
                <c:v>-6.1853698439561526</c:v>
              </c:pt>
              <c:pt idx="216">
                <c:v>0.42454188468960297</c:v>
              </c:pt>
              <c:pt idx="217">
                <c:v>-3.5919776630532851</c:v>
              </c:pt>
              <c:pt idx="218">
                <c:v>-10.880413979633261</c:v>
              </c:pt>
              <c:pt idx="219">
                <c:v>-12.982065934407558</c:v>
              </c:pt>
              <c:pt idx="220">
                <c:v>-6.4572866127932116</c:v>
              </c:pt>
              <c:pt idx="221">
                <c:v>3.7460172967553831</c:v>
              </c:pt>
              <c:pt idx="222">
                <c:v>-0.50684525602190433</c:v>
              </c:pt>
              <c:pt idx="223">
                <c:v>0.61132624649528111</c:v>
              </c:pt>
              <c:pt idx="224">
                <c:v>-4.7952815726018798</c:v>
              </c:pt>
              <c:pt idx="225">
                <c:v>-31.608497210796202</c:v>
              </c:pt>
              <c:pt idx="226">
                <c:v>-8.7952815726018798</c:v>
              </c:pt>
              <c:pt idx="227">
                <c:v>1.5096742917209838</c:v>
              </c:pt>
              <c:pt idx="228">
                <c:v>1.3228899299153056</c:v>
              </c:pt>
              <c:pt idx="229">
                <c:v>-10.031624577636251</c:v>
              </c:pt>
              <c:pt idx="230">
                <c:v>-15.303541346473338</c:v>
              </c:pt>
              <c:pt idx="231">
                <c:v>-10.575458115310397</c:v>
              </c:pt>
              <c:pt idx="232">
                <c:v>-13.355634658018914</c:v>
              </c:pt>
              <c:pt idx="233">
                <c:v>-0.55893856756750893</c:v>
              </c:pt>
              <c:pt idx="234">
                <c:v>-5.4738061605360997</c:v>
              </c:pt>
              <c:pt idx="235">
                <c:v>4.017934065592442</c:v>
              </c:pt>
              <c:pt idx="236">
                <c:v>-3.5589385675675089</c:v>
              </c:pt>
              <c:pt idx="237">
                <c:v>3.424541884689603</c:v>
              </c:pt>
              <c:pt idx="238">
                <c:v>11.339409477658194</c:v>
              </c:pt>
              <c:pt idx="239">
                <c:v>15.339409477658194</c:v>
              </c:pt>
              <c:pt idx="240">
                <c:v>11.322889929915306</c:v>
              </c:pt>
              <c:pt idx="241">
                <c:v>8.017934065592442</c:v>
              </c:pt>
              <c:pt idx="242">
                <c:v>5.2377575228839248</c:v>
              </c:pt>
              <c:pt idx="243">
                <c:v>9.4080223369467149</c:v>
              </c:pt>
              <c:pt idx="244">
                <c:v>12.729497749012467</c:v>
              </c:pt>
            </c:numLit>
          </c:yVal>
          <c:smooth val="0"/>
        </c:ser>
        <c:dLbls>
          <c:showLegendKey val="0"/>
          <c:showVal val="0"/>
          <c:showCatName val="0"/>
          <c:showSerName val="0"/>
          <c:showPercent val="0"/>
          <c:showBubbleSize val="0"/>
        </c:dLbls>
        <c:axId val="1103541760"/>
        <c:axId val="1103540976"/>
      </c:scatterChart>
      <c:valAx>
        <c:axId val="1103541760"/>
        <c:scaling>
          <c:orientation val="minMax"/>
          <c:min val="130"/>
        </c:scaling>
        <c:delete val="0"/>
        <c:axPos val="b"/>
        <c:numFmt formatCode="General" sourceLinked="1"/>
        <c:majorTickMark val="out"/>
        <c:minorTickMark val="none"/>
        <c:tickLblPos val="nextTo"/>
        <c:crossAx val="1103540976"/>
        <c:crossesAt val="-50"/>
        <c:crossBetween val="midCat"/>
      </c:valAx>
      <c:valAx>
        <c:axId val="1103540976"/>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103541760"/>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Histogram of Residuals
</a:t>
            </a:r>
            <a:r>
              <a:rPr lang="en-US" sz="1000"/>
              <a:t>Model 2.0 for Y    (1 variable, n=245)</a:t>
            </a:r>
          </a:p>
        </c:rich>
      </c:tx>
      <c:overlay val="0"/>
    </c:title>
    <c:autoTitleDeleted val="0"/>
    <c:plotArea>
      <c:layout/>
      <c:barChart>
        <c:barDir val="col"/>
        <c:grouping val="clustered"/>
        <c:varyColors val="0"/>
        <c:ser>
          <c:idx val="0"/>
          <c:order val="0"/>
          <c:tx>
            <c:v>Actual</c:v>
          </c:tx>
          <c:spPr>
            <a:solidFill>
              <a:srgbClr val="9999FF"/>
            </a:solidFill>
            <a:ln w="9525" cap="flat" cmpd="sng" algn="ctr">
              <a:solidFill>
                <a:srgbClr val="0000FF"/>
              </a:solidFill>
              <a:prstDash val="solid"/>
              <a:round/>
              <a:headEnd type="none" w="med" len="med"/>
              <a:tailEnd type="none" w="med" len="med"/>
            </a:ln>
          </c:spPr>
          <c:invertIfNegative val="0"/>
          <c:cat>
            <c:strLit>
              <c:ptCount val="21"/>
              <c:pt idx="0">
                <c:v>-42.0</c:v>
              </c:pt>
              <c:pt idx="1">
                <c:v>-37.8</c:v>
              </c:pt>
              <c:pt idx="2">
                <c:v>-33.6</c:v>
              </c:pt>
              <c:pt idx="3">
                <c:v>-29.4</c:v>
              </c:pt>
              <c:pt idx="4">
                <c:v>-25.2</c:v>
              </c:pt>
              <c:pt idx="5">
                <c:v>-21.0</c:v>
              </c:pt>
              <c:pt idx="6">
                <c:v>-16.8</c:v>
              </c:pt>
              <c:pt idx="7">
                <c:v>-12.6</c:v>
              </c:pt>
              <c:pt idx="8">
                <c:v>-8.4</c:v>
              </c:pt>
              <c:pt idx="9">
                <c:v>-4.2</c:v>
              </c:pt>
              <c:pt idx="10">
                <c:v>0.0</c:v>
              </c:pt>
              <c:pt idx="11">
                <c:v>4.2</c:v>
              </c:pt>
              <c:pt idx="12">
                <c:v>8.4</c:v>
              </c:pt>
              <c:pt idx="13">
                <c:v>12.6</c:v>
              </c:pt>
              <c:pt idx="14">
                <c:v>16.8</c:v>
              </c:pt>
              <c:pt idx="15">
                <c:v>21.0</c:v>
              </c:pt>
              <c:pt idx="16">
                <c:v>25.2</c:v>
              </c:pt>
              <c:pt idx="17">
                <c:v>29.4</c:v>
              </c:pt>
              <c:pt idx="18">
                <c:v>33.6</c:v>
              </c:pt>
              <c:pt idx="19">
                <c:v>37.8</c:v>
              </c:pt>
              <c:pt idx="20">
                <c:v>42.0</c:v>
              </c:pt>
            </c:strLit>
          </c:cat>
          <c:val>
            <c:numLit>
              <c:formatCode>General</c:formatCode>
              <c:ptCount val="21"/>
              <c:pt idx="0">
                <c:v>1</c:v>
              </c:pt>
              <c:pt idx="1">
                <c:v>0</c:v>
              </c:pt>
              <c:pt idx="2">
                <c:v>1</c:v>
              </c:pt>
              <c:pt idx="3">
                <c:v>3</c:v>
              </c:pt>
              <c:pt idx="4">
                <c:v>0</c:v>
              </c:pt>
              <c:pt idx="5">
                <c:v>0</c:v>
              </c:pt>
              <c:pt idx="6">
                <c:v>2</c:v>
              </c:pt>
              <c:pt idx="7">
                <c:v>13</c:v>
              </c:pt>
              <c:pt idx="8">
                <c:v>21</c:v>
              </c:pt>
              <c:pt idx="9">
                <c:v>54</c:v>
              </c:pt>
              <c:pt idx="10">
                <c:v>66</c:v>
              </c:pt>
              <c:pt idx="11">
                <c:v>38</c:v>
              </c:pt>
              <c:pt idx="12">
                <c:v>26</c:v>
              </c:pt>
              <c:pt idx="13">
                <c:v>12</c:v>
              </c:pt>
              <c:pt idx="14">
                <c:v>2</c:v>
              </c:pt>
              <c:pt idx="15">
                <c:v>1</c:v>
              </c:pt>
              <c:pt idx="16">
                <c:v>1</c:v>
              </c:pt>
              <c:pt idx="17">
                <c:v>1</c:v>
              </c:pt>
              <c:pt idx="18">
                <c:v>1</c:v>
              </c:pt>
              <c:pt idx="19">
                <c:v>2</c:v>
              </c:pt>
              <c:pt idx="20">
                <c:v>0</c:v>
              </c:pt>
            </c:numLit>
          </c:val>
        </c:ser>
        <c:ser>
          <c:idx val="1"/>
          <c:order val="1"/>
          <c:tx>
            <c:v>Normal</c:v>
          </c:tx>
          <c:spPr>
            <a:solidFill>
              <a:srgbClr val="FFD2D2"/>
            </a:solidFill>
            <a:ln w="9525">
              <a:solidFill>
                <a:srgbClr val="FF0000"/>
              </a:solidFill>
              <a:prstDash val="solid"/>
            </a:ln>
          </c:spPr>
          <c:invertIfNegative val="0"/>
          <c:cat>
            <c:strLit>
              <c:ptCount val="21"/>
              <c:pt idx="0">
                <c:v>-42.0</c:v>
              </c:pt>
              <c:pt idx="1">
                <c:v>-37.8</c:v>
              </c:pt>
              <c:pt idx="2">
                <c:v>-33.6</c:v>
              </c:pt>
              <c:pt idx="3">
                <c:v>-29.4</c:v>
              </c:pt>
              <c:pt idx="4">
                <c:v>-25.2</c:v>
              </c:pt>
              <c:pt idx="5">
                <c:v>-21.0</c:v>
              </c:pt>
              <c:pt idx="6">
                <c:v>-16.8</c:v>
              </c:pt>
              <c:pt idx="7">
                <c:v>-12.6</c:v>
              </c:pt>
              <c:pt idx="8">
                <c:v>-8.4</c:v>
              </c:pt>
              <c:pt idx="9">
                <c:v>-4.2</c:v>
              </c:pt>
              <c:pt idx="10">
                <c:v>0.0</c:v>
              </c:pt>
              <c:pt idx="11">
                <c:v>4.2</c:v>
              </c:pt>
              <c:pt idx="12">
                <c:v>8.4</c:v>
              </c:pt>
              <c:pt idx="13">
                <c:v>12.6</c:v>
              </c:pt>
              <c:pt idx="14">
                <c:v>16.8</c:v>
              </c:pt>
              <c:pt idx="15">
                <c:v>21.0</c:v>
              </c:pt>
              <c:pt idx="16">
                <c:v>25.2</c:v>
              </c:pt>
              <c:pt idx="17">
                <c:v>29.4</c:v>
              </c:pt>
              <c:pt idx="18">
                <c:v>33.6</c:v>
              </c:pt>
              <c:pt idx="19">
                <c:v>37.8</c:v>
              </c:pt>
              <c:pt idx="20">
                <c:v>42.0</c:v>
              </c:pt>
            </c:strLit>
          </c:cat>
          <c:val>
            <c:numLit>
              <c:formatCode>General</c:formatCode>
              <c:ptCount val="21"/>
              <c:pt idx="0">
                <c:v>1.6518697339274976E-3</c:v>
              </c:pt>
              <c:pt idx="1">
                <c:v>1.1466057262260548E-2</c:v>
              </c:pt>
              <c:pt idx="2">
                <c:v>6.4883947118870786E-2</c:v>
              </c:pt>
              <c:pt idx="3">
                <c:v>0.29935687048403298</c:v>
              </c:pt>
              <c:pt idx="4">
                <c:v>1.1261877698999299</c:v>
              </c:pt>
              <c:pt idx="5">
                <c:v>3.4549276949393106</c:v>
              </c:pt>
              <c:pt idx="6">
                <c:v>8.6438300532438959</c:v>
              </c:pt>
              <c:pt idx="7">
                <c:v>17.637623600304302</c:v>
              </c:pt>
              <c:pt idx="8">
                <c:v>29.353674283082416</c:v>
              </c:pt>
              <c:pt idx="9">
                <c:v>39.846430331795581</c:v>
              </c:pt>
              <c:pt idx="10">
                <c:v>44.119506840382925</c:v>
              </c:pt>
              <c:pt idx="11">
                <c:v>39.846430331795574</c:v>
              </c:pt>
              <c:pt idx="12">
                <c:v>29.353674283082427</c:v>
              </c:pt>
              <c:pt idx="13">
                <c:v>17.637623600304266</c:v>
              </c:pt>
              <c:pt idx="14">
                <c:v>8.643830053243903</c:v>
              </c:pt>
              <c:pt idx="15">
                <c:v>3.4549276949393288</c:v>
              </c:pt>
              <c:pt idx="16">
                <c:v>1.1261877698999001</c:v>
              </c:pt>
              <c:pt idx="17">
                <c:v>0.29935687048404702</c:v>
              </c:pt>
              <c:pt idx="18">
                <c:v>6.4883947118858032E-2</c:v>
              </c:pt>
              <c:pt idx="19">
                <c:v>1.1466057262254026E-2</c:v>
              </c:pt>
              <c:pt idx="20">
                <c:v>1.6518697339336086E-3</c:v>
              </c:pt>
            </c:numLit>
          </c:val>
        </c:ser>
        <c:dLbls>
          <c:showLegendKey val="0"/>
          <c:showVal val="0"/>
          <c:showCatName val="0"/>
          <c:showSerName val="0"/>
          <c:showPercent val="0"/>
          <c:showBubbleSize val="0"/>
        </c:dLbls>
        <c:gapWidth val="50"/>
        <c:axId val="1103564496"/>
        <c:axId val="1103541368"/>
      </c:barChart>
      <c:catAx>
        <c:axId val="1103564496"/>
        <c:scaling>
          <c:orientation val="minMax"/>
        </c:scaling>
        <c:delete val="0"/>
        <c:axPos val="b"/>
        <c:title>
          <c:tx>
            <c:rich>
              <a:bodyPr/>
              <a:lstStyle/>
              <a:p>
                <a:pPr>
                  <a:defRPr/>
                </a:pPr>
                <a:r>
                  <a:rPr lang="en-US"/>
                  <a:t>N</a:t>
                </a:r>
                <a:r>
                  <a:rPr lang="en-US" sz="900"/>
                  <a:t>ormality test (A-D*):  P &lt; 0.001</a:t>
                </a:r>
              </a:p>
            </c:rich>
          </c:tx>
          <c:overlay val="0"/>
        </c:title>
        <c:numFmt formatCode="General" sourceLinked="1"/>
        <c:majorTickMark val="out"/>
        <c:minorTickMark val="none"/>
        <c:tickLblPos val="nextTo"/>
        <c:crossAx val="1103541368"/>
        <c:crosses val="autoZero"/>
        <c:auto val="1"/>
        <c:lblAlgn val="ctr"/>
        <c:lblOffset val="100"/>
        <c:noMultiLvlLbl val="0"/>
      </c:catAx>
      <c:valAx>
        <c:axId val="1103541368"/>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103564496"/>
        <c:crosses val="autoZero"/>
        <c:crossBetween val="between"/>
      </c:valAx>
      <c:spPr>
        <a:ln w="6350">
          <a:solidFill>
            <a:srgbClr val="808080"/>
          </a:solidFill>
          <a:prstDash val="solid"/>
        </a:ln>
      </c:spPr>
    </c:plotArea>
    <c:legend>
      <c:legendPos val="r"/>
      <c:overlay val="0"/>
    </c:legend>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Normal Quantile Plot
</a:t>
            </a:r>
            <a:r>
              <a:rPr lang="en-US" sz="1000"/>
              <a:t>Model 2.0 for Y    (1 variable, n=245)</a:t>
            </a:r>
          </a:p>
        </c:rich>
      </c:tx>
      <c:overlay val="0"/>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xVal>
          <c:yVal>
            <c:numLit>
              <c:formatCode>General</c:formatCode>
              <c:ptCount val="245"/>
              <c:pt idx="0">
                <c:v>-4.5069258368961522</c:v>
              </c:pt>
              <c:pt idx="1">
                <c:v>-3.4264722315191207</c:v>
              </c:pt>
              <c:pt idx="2">
                <c:v>-3.3475454493574426</c:v>
              </c:pt>
              <c:pt idx="3">
                <c:v>-3.2704094442529859</c:v>
              </c:pt>
              <c:pt idx="4">
                <c:v>-2.9800479613646758</c:v>
              </c:pt>
              <c:pt idx="5">
                <c:v>-1.6663955636170529</c:v>
              </c:pt>
              <c:pt idx="6">
                <c:v>-1.6589576884308561</c:v>
              </c:pt>
              <c:pt idx="7">
                <c:v>-1.4477977546615366</c:v>
              </c:pt>
              <c:pt idx="8">
                <c:v>-1.4129486897024082</c:v>
              </c:pt>
              <c:pt idx="9">
                <c:v>-1.4073015915734304</c:v>
              </c:pt>
              <c:pt idx="10">
                <c:v>-1.3539952221274676</c:v>
              </c:pt>
              <c:pt idx="11">
                <c:v>-1.2420101520638795</c:v>
              </c:pt>
              <c:pt idx="12">
                <c:v>-1.2107426412191891</c:v>
              </c:pt>
              <c:pt idx="13">
                <c:v>-1.1997232119185515</c:v>
              </c:pt>
              <c:pt idx="14">
                <c:v>-1.190494559675136</c:v>
              </c:pt>
              <c:pt idx="15">
                <c:v>-1.188703782617917</c:v>
              </c:pt>
              <c:pt idx="16">
                <c:v>-1.1794751303744984</c:v>
              </c:pt>
              <c:pt idx="17">
                <c:v>-1.1702464781310828</c:v>
              </c:pt>
              <c:pt idx="18">
                <c:v>-1.1702464781310828</c:v>
              </c:pt>
              <c:pt idx="19">
                <c:v>-1.1464168424725889</c:v>
              </c:pt>
              <c:pt idx="20">
                <c:v>-1.1059206793844827</c:v>
              </c:pt>
              <c:pt idx="21">
                <c:v>-1.0874633748976483</c:v>
              </c:pt>
              <c:pt idx="22">
                <c:v>-1.0692808373681322</c:v>
              </c:pt>
              <c:pt idx="23">
                <c:v>-1.0692808373681322</c:v>
              </c:pt>
              <c:pt idx="24">
                <c:v>-0.96087732141898508</c:v>
              </c:pt>
              <c:pt idx="25">
                <c:v>-0.95343944623278842</c:v>
              </c:pt>
              <c:pt idx="26">
                <c:v>-0.9442107939893728</c:v>
              </c:pt>
              <c:pt idx="27">
                <c:v>-0.89476074561516294</c:v>
              </c:pt>
              <c:pt idx="28">
                <c:v>-0.88374131631452857</c:v>
              </c:pt>
              <c:pt idx="29">
                <c:v>-0.87630344112833181</c:v>
              </c:pt>
              <c:pt idx="30">
                <c:v>-0.87451266407110984</c:v>
              </c:pt>
              <c:pt idx="31">
                <c:v>-0.86707478888491318</c:v>
              </c:pt>
              <c:pt idx="32">
                <c:v>-0.84503593028364121</c:v>
              </c:pt>
              <c:pt idx="33">
                <c:v>-0.83401650098300362</c:v>
              </c:pt>
              <c:pt idx="34">
                <c:v>-0.7881480067232377</c:v>
              </c:pt>
              <c:pt idx="35">
                <c:v>-0.74765184363513149</c:v>
              </c:pt>
              <c:pt idx="36">
                <c:v>-0.74586106657790952</c:v>
              </c:pt>
              <c:pt idx="37">
                <c:v>-0.74586106657790952</c:v>
              </c:pt>
              <c:pt idx="38">
                <c:v>-0.74407028952069065</c:v>
              </c:pt>
              <c:pt idx="39">
                <c:v>-0.73484163727727203</c:v>
              </c:pt>
              <c:pt idx="40">
                <c:v>-0.6999925723181436</c:v>
              </c:pt>
              <c:pt idx="41">
                <c:v>-0.68153526783130935</c:v>
              </c:pt>
              <c:pt idx="42">
                <c:v>-0.67051583853067498</c:v>
              </c:pt>
              <c:pt idx="43">
                <c:v>-0.65770563217281541</c:v>
              </c:pt>
              <c:pt idx="44">
                <c:v>-0.64668620287218104</c:v>
              </c:pt>
              <c:pt idx="45">
                <c:v>-0.63924832768598427</c:v>
              </c:pt>
              <c:pt idx="46">
                <c:v>-0.62643812132812482</c:v>
              </c:pt>
              <c:pt idx="47">
                <c:v>-0.62643812132812482</c:v>
              </c:pt>
              <c:pt idx="48">
                <c:v>-0.61541869202749033</c:v>
              </c:pt>
              <c:pt idx="49">
                <c:v>-0.61541869202749033</c:v>
              </c:pt>
              <c:pt idx="50">
                <c:v>-0.61362791497027147</c:v>
              </c:pt>
              <c:pt idx="51">
                <c:v>-0.59517061048343722</c:v>
              </c:pt>
              <c:pt idx="52">
                <c:v>-0.59337983342621525</c:v>
              </c:pt>
              <c:pt idx="53">
                <c:v>-0.56211232258152777</c:v>
              </c:pt>
              <c:pt idx="54">
                <c:v>-0.55853076846708694</c:v>
              </c:pt>
              <c:pt idx="55">
                <c:v>-0.55109289328089017</c:v>
              </c:pt>
              <c:pt idx="56">
                <c:v>-0.55109289328089017</c:v>
              </c:pt>
              <c:pt idx="57">
                <c:v>-0.52905403467961509</c:v>
              </c:pt>
              <c:pt idx="58">
                <c:v>-0.52161615949341844</c:v>
              </c:pt>
              <c:pt idx="59">
                <c:v>-0.51982538243619958</c:v>
              </c:pt>
              <c:pt idx="60">
                <c:v>-0.51624382832175875</c:v>
              </c:pt>
              <c:pt idx="61">
                <c:v>-0.51624382832175875</c:v>
              </c:pt>
              <c:pt idx="62">
                <c:v>-0.49420496972048678</c:v>
              </c:pt>
              <c:pt idx="63">
                <c:v>-0.4849763174770681</c:v>
              </c:pt>
              <c:pt idx="64">
                <c:v>-0.47574766523365253</c:v>
              </c:pt>
              <c:pt idx="65">
                <c:v>-0.46472823593301499</c:v>
              </c:pt>
              <c:pt idx="66">
                <c:v>-0.46114668181857416</c:v>
              </c:pt>
              <c:pt idx="67">
                <c:v>-0.45370880663238056</c:v>
              </c:pt>
              <c:pt idx="68">
                <c:v>-0.45191802957515859</c:v>
              </c:pt>
              <c:pt idx="69">
                <c:v>-0.44268937733174302</c:v>
              </c:pt>
              <c:pt idx="70">
                <c:v>-0.43166994803110548</c:v>
              </c:pt>
              <c:pt idx="71">
                <c:v>-0.42065051873046794</c:v>
              </c:pt>
              <c:pt idx="72">
                <c:v>-0.38938300788577729</c:v>
              </c:pt>
              <c:pt idx="73">
                <c:v>-0.38938300788577729</c:v>
              </c:pt>
              <c:pt idx="74">
                <c:v>-0.38580145377133956</c:v>
              </c:pt>
              <c:pt idx="75">
                <c:v>-0.38401067671411759</c:v>
              </c:pt>
              <c:pt idx="76">
                <c:v>-0.37657280152792089</c:v>
              </c:pt>
              <c:pt idx="77">
                <c:v>-0.36555337222728645</c:v>
              </c:pt>
              <c:pt idx="78">
                <c:v>-0.34530529068323335</c:v>
              </c:pt>
              <c:pt idx="79">
                <c:v>-0.33249508432537384</c:v>
              </c:pt>
              <c:pt idx="80">
                <c:v>-0.3214756550247394</c:v>
              </c:pt>
              <c:pt idx="81">
                <c:v>-0.31224700278132073</c:v>
              </c:pt>
              <c:pt idx="82">
                <c:v>-0.30480912759512402</c:v>
              </c:pt>
              <c:pt idx="83">
                <c:v>-0.30122757348068319</c:v>
              </c:pt>
              <c:pt idx="84">
                <c:v>-0.29199892123726762</c:v>
              </c:pt>
              <c:pt idx="85">
                <c:v>-0.28841736712282989</c:v>
              </c:pt>
              <c:pt idx="86">
                <c:v>-0.27739793782219235</c:v>
              </c:pt>
              <c:pt idx="87">
                <c:v>-0.26996006263599565</c:v>
              </c:pt>
              <c:pt idx="88">
                <c:v>-0.26637850852155481</c:v>
              </c:pt>
              <c:pt idx="89">
                <c:v>-0.26637850852155481</c:v>
              </c:pt>
              <c:pt idx="90">
                <c:v>-0.26637850852155481</c:v>
              </c:pt>
              <c:pt idx="91">
                <c:v>-0.25714985627813924</c:v>
              </c:pt>
              <c:pt idx="92">
                <c:v>-0.24971198109194254</c:v>
              </c:pt>
              <c:pt idx="93">
                <c:v>-0.23690177473408613</c:v>
              </c:pt>
              <c:pt idx="94">
                <c:v>-0.23511099767686416</c:v>
              </c:pt>
              <c:pt idx="95">
                <c:v>-0.22588234543344859</c:v>
              </c:pt>
              <c:pt idx="96">
                <c:v>-0.22409156837622665</c:v>
              </c:pt>
              <c:pt idx="97">
                <c:v>-0.21486291613281105</c:v>
              </c:pt>
              <c:pt idx="98">
                <c:v>-0.20205270977495465</c:v>
              </c:pt>
              <c:pt idx="99">
                <c:v>-0.20026193271773579</c:v>
              </c:pt>
              <c:pt idx="100">
                <c:v>-0.18359540528812041</c:v>
              </c:pt>
              <c:pt idx="101">
                <c:v>-0.18359540528812041</c:v>
              </c:pt>
              <c:pt idx="102">
                <c:v>-0.17436675304470484</c:v>
              </c:pt>
              <c:pt idx="103">
                <c:v>-0.170785198930264</c:v>
              </c:pt>
              <c:pt idx="104">
                <c:v>-0.16155654668684843</c:v>
              </c:pt>
              <c:pt idx="105">
                <c:v>-0.14874634032899203</c:v>
              </c:pt>
              <c:pt idx="106">
                <c:v>-0.14695556327177009</c:v>
              </c:pt>
              <c:pt idx="107">
                <c:v>-0.14695556327177009</c:v>
              </c:pt>
              <c:pt idx="108">
                <c:v>-0.14130846514279533</c:v>
              </c:pt>
              <c:pt idx="109">
                <c:v>-0.11004095429810468</c:v>
              </c:pt>
              <c:pt idx="110">
                <c:v>-9.7230747940248274E-2</c:v>
              </c:pt>
              <c:pt idx="111">
                <c:v>-9.5439970883026332E-2</c:v>
              </c:pt>
              <c:pt idx="112">
                <c:v>-9.3649193825807456E-2</c:v>
              </c:pt>
              <c:pt idx="113">
                <c:v>-8.9792872754051567E-2</c:v>
              </c:pt>
              <c:pt idx="114">
                <c:v>-6.0590905923897945E-2</c:v>
              </c:pt>
              <c:pt idx="115">
                <c:v>-5.6734584852138975E-2</c:v>
              </c:pt>
              <c:pt idx="116">
                <c:v>-5.4943807794920106E-2</c:v>
              </c:pt>
              <c:pt idx="117">
                <c:v>-5.1362253680479281E-2</c:v>
              </c:pt>
              <c:pt idx="118">
                <c:v>-4.2133601437063704E-2</c:v>
              </c:pt>
              <c:pt idx="119">
                <c:v>-4.0342824379844835E-2</c:v>
              </c:pt>
              <c:pt idx="120">
                <c:v>-3.1114172136426171E-2</c:v>
              </c:pt>
              <c:pt idx="121">
                <c:v>-2.0094742835791719E-2</c:v>
              </c:pt>
              <c:pt idx="122">
                <c:v>-1.830396577856977E-2</c:v>
              </c:pt>
              <c:pt idx="123">
                <c:v>-1.0866090592373059E-2</c:v>
              </c:pt>
              <c:pt idx="124">
                <c:v>-1.0866090592373059E-2</c:v>
              </c:pt>
              <c:pt idx="125">
                <c:v>-7.2845364779322384E-3</c:v>
              </c:pt>
              <c:pt idx="126">
                <c:v>-7.2845364779322384E-3</c:v>
              </c:pt>
              <c:pt idx="127">
                <c:v>1.2963545066120874E-2</c:v>
              </c:pt>
              <c:pt idx="128">
                <c:v>2.3982974366758406E-2</c:v>
              </c:pt>
              <c:pt idx="129">
                <c:v>3.5002403667392858E-2</c:v>
              </c:pt>
              <c:pt idx="130">
                <c:v>3.5002403667392858E-2</c:v>
              </c:pt>
              <c:pt idx="131">
                <c:v>4.4231055910811515E-2</c:v>
              </c:pt>
              <c:pt idx="132">
                <c:v>4.6021832968030391E-2</c:v>
              </c:pt>
              <c:pt idx="133">
                <c:v>4.6021832968030391E-2</c:v>
              </c:pt>
              <c:pt idx="134">
                <c:v>4.7812610025249259E-2</c:v>
              </c:pt>
              <c:pt idx="135">
                <c:v>5.7041262268667917E-2</c:v>
              </c:pt>
              <c:pt idx="136">
                <c:v>5.7041262268667917E-2</c:v>
              </c:pt>
              <c:pt idx="137">
                <c:v>6.62699145120835E-2</c:v>
              </c:pt>
              <c:pt idx="138">
                <c:v>6.9851468626524318E-2</c:v>
              </c:pt>
              <c:pt idx="139">
                <c:v>8.0870897927161858E-2</c:v>
              </c:pt>
              <c:pt idx="140">
                <c:v>9.0099550170577428E-2</c:v>
              </c:pt>
              <c:pt idx="141">
                <c:v>9.9328202413993011E-2</c:v>
              </c:pt>
              <c:pt idx="142">
                <c:v>0.10855685465741167</c:v>
              </c:pt>
              <c:pt idx="143">
                <c:v>0.11034763171463055</c:v>
              </c:pt>
              <c:pt idx="144">
                <c:v>0.11213840877184941</c:v>
              </c:pt>
              <c:pt idx="145">
                <c:v>0.12315783807248695</c:v>
              </c:pt>
              <c:pt idx="146">
                <c:v>0.1323864903159056</c:v>
              </c:pt>
              <c:pt idx="147">
                <c:v>0.1377588214875653</c:v>
              </c:pt>
              <c:pt idx="148">
                <c:v>0.13982436550209923</c:v>
              </c:pt>
              <c:pt idx="149">
                <c:v>0.14340591961654006</c:v>
              </c:pt>
              <c:pt idx="150">
                <c:v>0.14340591961654006</c:v>
              </c:pt>
              <c:pt idx="151">
                <c:v>0.15084379480273677</c:v>
              </c:pt>
              <c:pt idx="152">
                <c:v>0.16365400116059317</c:v>
              </c:pt>
              <c:pt idx="153">
                <c:v>0.16365400116059317</c:v>
              </c:pt>
              <c:pt idx="154">
                <c:v>0.18390208270464628</c:v>
              </c:pt>
              <c:pt idx="155">
                <c:v>0.18569285976186822</c:v>
              </c:pt>
              <c:pt idx="156">
                <c:v>0.18569285976186822</c:v>
              </c:pt>
              <c:pt idx="157">
                <c:v>0.19106519093352792</c:v>
              </c:pt>
              <c:pt idx="158">
                <c:v>0.20952249542036216</c:v>
              </c:pt>
              <c:pt idx="159">
                <c:v>0.20952249542036216</c:v>
              </c:pt>
              <c:pt idx="160">
                <c:v>0.21875114766377776</c:v>
              </c:pt>
              <c:pt idx="161">
                <c:v>0.22977057696441527</c:v>
              </c:pt>
              <c:pt idx="162">
                <c:v>0.22977057696441527</c:v>
              </c:pt>
              <c:pt idx="163">
                <c:v>0.24079000626505281</c:v>
              </c:pt>
              <c:pt idx="164">
                <c:v>0.25360021262290611</c:v>
              </c:pt>
              <c:pt idx="165">
                <c:v>0.25360021262290611</c:v>
              </c:pt>
              <c:pt idx="166">
                <c:v>0.28486772346759676</c:v>
              </c:pt>
              <c:pt idx="167">
                <c:v>0.28486772346759676</c:v>
              </c:pt>
              <c:pt idx="168">
                <c:v>0.29409637571101543</c:v>
              </c:pt>
              <c:pt idx="169">
                <c:v>0.3086973591260907</c:v>
              </c:pt>
              <c:pt idx="170">
                <c:v>0.3086973591260907</c:v>
              </c:pt>
              <c:pt idx="171">
                <c:v>0.33817409291356249</c:v>
              </c:pt>
              <c:pt idx="172">
                <c:v>0.33817409291356249</c:v>
              </c:pt>
              <c:pt idx="173">
                <c:v>0.35098429927141889</c:v>
              </c:pt>
              <c:pt idx="174">
                <c:v>0.36944160375825313</c:v>
              </c:pt>
              <c:pt idx="175">
                <c:v>0.371232380815472</c:v>
              </c:pt>
              <c:pt idx="176">
                <c:v>0.40429066871738151</c:v>
              </c:pt>
              <c:pt idx="177">
                <c:v>0.40608144577460348</c:v>
              </c:pt>
              <c:pt idx="178">
                <c:v>0.41172854390357821</c:v>
              </c:pt>
              <c:pt idx="179">
                <c:v>0.41351932096079708</c:v>
              </c:pt>
              <c:pt idx="180">
                <c:v>0.41710087507523791</c:v>
              </c:pt>
              <c:pt idx="181">
                <c:v>0.42274797320421575</c:v>
              </c:pt>
              <c:pt idx="182">
                <c:v>0.43555817956207216</c:v>
              </c:pt>
              <c:pt idx="183">
                <c:v>0.4540154840489064</c:v>
              </c:pt>
              <c:pt idx="184">
                <c:v>0.46682569040676281</c:v>
              </c:pt>
              <c:pt idx="185">
                <c:v>0.48321745087906004</c:v>
              </c:pt>
              <c:pt idx="186">
                <c:v>0.49988397830867232</c:v>
              </c:pt>
              <c:pt idx="187">
                <c:v>0.51090340760930986</c:v>
              </c:pt>
              <c:pt idx="188">
                <c:v>0.51269418466652872</c:v>
              </c:pt>
              <c:pt idx="189">
                <c:v>0.5347330432678038</c:v>
              </c:pt>
              <c:pt idx="190">
                <c:v>0.56420977705527242</c:v>
              </c:pt>
              <c:pt idx="191">
                <c:v>0.56779133116971325</c:v>
              </c:pt>
              <c:pt idx="192">
                <c:v>0.57522920635591002</c:v>
              </c:pt>
              <c:pt idx="193">
                <c:v>0.62109770061567593</c:v>
              </c:pt>
              <c:pt idx="194">
                <c:v>0.62853557580187258</c:v>
              </c:pt>
              <c:pt idx="195">
                <c:v>0.63955500510251018</c:v>
              </c:pt>
              <c:pt idx="196">
                <c:v>0.65415598851758539</c:v>
              </c:pt>
              <c:pt idx="197">
                <c:v>0.65415598851758539</c:v>
              </c:pt>
              <c:pt idx="198">
                <c:v>0.66338464076100412</c:v>
              </c:pt>
              <c:pt idx="199">
                <c:v>0.71848178726418555</c:v>
              </c:pt>
              <c:pt idx="200">
                <c:v>0.74974929810887625</c:v>
              </c:pt>
              <c:pt idx="201">
                <c:v>0.76076872740951373</c:v>
              </c:pt>
              <c:pt idx="202">
                <c:v>0.77922603189634798</c:v>
              </c:pt>
              <c:pt idx="203">
                <c:v>0.79203623825420444</c:v>
              </c:pt>
              <c:pt idx="204">
                <c:v>0.7938270153114233</c:v>
              </c:pt>
              <c:pt idx="205">
                <c:v>0.80305566755484192</c:v>
              </c:pt>
              <c:pt idx="206">
                <c:v>0.80484644461206079</c:v>
              </c:pt>
              <c:pt idx="207">
                <c:v>0.83790473251397035</c:v>
              </c:pt>
              <c:pt idx="208">
                <c:v>0.84713338475738587</c:v>
              </c:pt>
              <c:pt idx="209">
                <c:v>0.86917224335866095</c:v>
              </c:pt>
              <c:pt idx="210">
                <c:v>0.87275379747310178</c:v>
              </c:pt>
              <c:pt idx="211">
                <c:v>0.92247861280462362</c:v>
              </c:pt>
              <c:pt idx="212">
                <c:v>0.92426938986184559</c:v>
              </c:pt>
              <c:pt idx="213">
                <c:v>0.93528881916247997</c:v>
              </c:pt>
              <c:pt idx="214">
                <c:v>0.9445174714058987</c:v>
              </c:pt>
              <c:pt idx="215">
                <c:v>0.96655633000717067</c:v>
              </c:pt>
              <c:pt idx="216">
                <c:v>0.97578498225058929</c:v>
              </c:pt>
              <c:pt idx="217">
                <c:v>0.97757575930780816</c:v>
              </c:pt>
              <c:pt idx="218">
                <c:v>0.98859518860844575</c:v>
              </c:pt>
              <c:pt idx="219">
                <c:v>1.0088432701524988</c:v>
              </c:pt>
              <c:pt idx="220">
                <c:v>1.0198626994531363</c:v>
              </c:pt>
              <c:pt idx="221">
                <c:v>1.0511302102978239</c:v>
              </c:pt>
              <c:pt idx="222">
                <c:v>1.0639404166556803</c:v>
              </c:pt>
              <c:pt idx="223">
                <c:v>1.0657311937129021</c:v>
              </c:pt>
              <c:pt idx="224">
                <c:v>1.1080181338582304</c:v>
              </c:pt>
              <c:pt idx="225">
                <c:v>1.161324503304193</c:v>
              </c:pt>
              <c:pt idx="226">
                <c:v>1.1833633619054651</c:v>
              </c:pt>
              <c:pt idx="227">
                <c:v>1.2256503020507932</c:v>
              </c:pt>
              <c:pt idx="228">
                <c:v>1.2274410791080121</c:v>
              </c:pt>
              <c:pt idx="229">
                <c:v>1.2292318561652309</c:v>
              </c:pt>
              <c:pt idx="230">
                <c:v>1.2715187963105592</c:v>
              </c:pt>
              <c:pt idx="231">
                <c:v>1.3799223122597064</c:v>
              </c:pt>
              <c:pt idx="232">
                <c:v>1.4222092524050345</c:v>
              </c:pt>
              <c:pt idx="233">
                <c:v>1.499345257509491</c:v>
              </c:pt>
              <c:pt idx="234">
                <c:v>1.5213841161107631</c:v>
              </c:pt>
              <c:pt idx="235">
                <c:v>1.543422974712038</c:v>
              </c:pt>
              <c:pt idx="236">
                <c:v>1.5764812626139477</c:v>
              </c:pt>
              <c:pt idx="237">
                <c:v>1.6628459199618197</c:v>
              </c:pt>
              <c:pt idx="238">
                <c:v>1.6959042078637323</c:v>
              </c:pt>
              <c:pt idx="239">
                <c:v>2.3740112602888654</c:v>
              </c:pt>
              <c:pt idx="240">
                <c:v>2.5264924934405597</c:v>
              </c:pt>
              <c:pt idx="241">
                <c:v>3.0152037037403301</c:v>
              </c:pt>
              <c:pt idx="242">
                <c:v>3.4928954847394689</c:v>
              </c:pt>
              <c:pt idx="243">
                <c:v>4.1763748683362616</c:v>
              </c:pt>
              <c:pt idx="244">
                <c:v>4.1856035205796776</c:v>
              </c:pt>
            </c:numLit>
          </c:yVal>
          <c:smooth val="0"/>
        </c:ser>
        <c:ser>
          <c:idx val="1"/>
          <c:order val="1"/>
          <c:tx>
            <c:v>Theoretical</c:v>
          </c:tx>
          <c:spPr>
            <a:ln w="12700">
              <a:solidFill>
                <a:srgbClr val="FF0000"/>
              </a:solidFill>
              <a:prstDash val="solid"/>
            </a:ln>
          </c:spPr>
          <c:marker>
            <c:symbol val="none"/>
          </c:marker>
          <c:x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xVal>
          <c:y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yVal>
          <c:smooth val="0"/>
        </c:ser>
        <c:dLbls>
          <c:showLegendKey val="0"/>
          <c:showVal val="0"/>
          <c:showCatName val="0"/>
          <c:showSerName val="0"/>
          <c:showPercent val="0"/>
          <c:showBubbleSize val="0"/>
        </c:dLbls>
        <c:axId val="1103567240"/>
        <c:axId val="1103564888"/>
      </c:scatterChart>
      <c:valAx>
        <c:axId val="1103567240"/>
        <c:scaling>
          <c:orientation val="minMax"/>
        </c:scaling>
        <c:delete val="0"/>
        <c:axPos val="b"/>
        <c:title>
          <c:tx>
            <c:rich>
              <a:bodyPr/>
              <a:lstStyle/>
              <a:p>
                <a:pPr>
                  <a:defRPr/>
                </a:pPr>
                <a:r>
                  <a:rPr lang="en-US"/>
                  <a:t>N</a:t>
                </a:r>
                <a:r>
                  <a:rPr lang="en-US" sz="900"/>
                  <a:t>ormality test (A-D*):  P &lt; 0.001</a:t>
                </a:r>
              </a:p>
            </c:rich>
          </c:tx>
          <c:overlay val="0"/>
        </c:title>
        <c:numFmt formatCode="General" sourceLinked="1"/>
        <c:majorTickMark val="out"/>
        <c:minorTickMark val="none"/>
        <c:tickLblPos val="low"/>
        <c:crossAx val="1103564888"/>
        <c:crosses val="autoZero"/>
        <c:crossBetween val="midCat"/>
        <c:majorUnit val="1"/>
      </c:valAx>
      <c:valAx>
        <c:axId val="1103564888"/>
        <c:scaling>
          <c:orientation val="minMax"/>
        </c:scaling>
        <c:delete val="0"/>
        <c:axPos val="l"/>
        <c:numFmt formatCode="General" sourceLinked="1"/>
        <c:majorTickMark val="out"/>
        <c:minorTickMark val="none"/>
        <c:tickLblPos val="nextTo"/>
        <c:crossAx val="1103567240"/>
        <c:crossesAt val="-3"/>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3.0'!$AA$2</c:f>
          <c:strCache>
            <c:ptCount val="1"/>
            <c:pt idx="0">
              <c:v>Forecasts and 95.0% confidence limits for means and forecasts
Model 3.0 for Y    (3 variables, n=245)</c:v>
            </c:pt>
          </c:strCache>
        </c:strRef>
      </c:tx>
      <c:overlay val="0"/>
      <c:txPr>
        <a:bodyPr/>
        <a:lstStyle/>
        <a:p>
          <a:pPr>
            <a:defRPr sz="1000"/>
          </a:pPr>
          <a:endParaRPr lang="en-US"/>
        </a:p>
      </c:txPr>
    </c:title>
    <c:autoTitleDeleted val="0"/>
    <c:plotArea>
      <c:layout/>
      <c:lineChart>
        <c:grouping val="standard"/>
        <c:varyColors val="0"/>
        <c:ser>
          <c:idx val="0"/>
          <c:order val="0"/>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3.0'!$CG$32:$CG$36</c:f>
                <c:numCache>
                  <c:formatCode>General</c:formatCode>
                  <c:ptCount val="5"/>
                  <c:pt idx="0">
                    <c:v>15.033526427827763</c:v>
                  </c:pt>
                  <c:pt idx="1">
                    <c:v>14.921084550154038</c:v>
                  </c:pt>
                  <c:pt idx="2">
                    <c:v>14.90705546660609</c:v>
                  </c:pt>
                  <c:pt idx="3">
                    <c:v>14.97017501778933</c:v>
                  </c:pt>
                  <c:pt idx="4">
                    <c:v>15.051658862862798</c:v>
                  </c:pt>
                </c:numCache>
              </c:numRef>
            </c:plus>
            <c:minus>
              <c:numRef>
                <c:f>'Model 3.0'!$CG$32:$CG$36</c:f>
                <c:numCache>
                  <c:formatCode>General</c:formatCode>
                  <c:ptCount val="5"/>
                  <c:pt idx="0">
                    <c:v>15.033526427827763</c:v>
                  </c:pt>
                  <c:pt idx="1">
                    <c:v>14.921084550154038</c:v>
                  </c:pt>
                  <c:pt idx="2">
                    <c:v>14.90705546660609</c:v>
                  </c:pt>
                  <c:pt idx="3">
                    <c:v>14.97017501778933</c:v>
                  </c:pt>
                  <c:pt idx="4">
                    <c:v>15.051658862862798</c:v>
                  </c:pt>
                </c:numCache>
              </c:numRef>
            </c:minus>
          </c:errBars>
          <c:cat>
            <c:numRef>
              <c:f>'Model 3.0'!$A$32:$A$36</c:f>
              <c:numCache>
                <c:formatCode>0</c:formatCode>
                <c:ptCount val="5"/>
                <c:pt idx="0">
                  <c:v>246</c:v>
                </c:pt>
                <c:pt idx="1">
                  <c:v>247</c:v>
                </c:pt>
                <c:pt idx="2">
                  <c:v>248</c:v>
                </c:pt>
                <c:pt idx="3">
                  <c:v>249</c:v>
                </c:pt>
                <c:pt idx="4">
                  <c:v>250</c:v>
                </c:pt>
              </c:numCache>
            </c:numRef>
          </c:cat>
          <c:val>
            <c:numRef>
              <c:f>'Model 3.0'!$B$32:$B$36</c:f>
              <c:numCache>
                <c:formatCode>0.000</c:formatCode>
                <c:ptCount val="5"/>
                <c:pt idx="0">
                  <c:v>167.45831025394773</c:v>
                </c:pt>
                <c:pt idx="1">
                  <c:v>162.84409221700326</c:v>
                </c:pt>
                <c:pt idx="2">
                  <c:v>162.0776606902991</c:v>
                </c:pt>
                <c:pt idx="3">
                  <c:v>165.58654030083207</c:v>
                </c:pt>
                <c:pt idx="4">
                  <c:v>149.01386390631887</c:v>
                </c:pt>
              </c:numCache>
            </c:numRef>
          </c:val>
          <c:smooth val="0"/>
        </c:ser>
        <c:ser>
          <c:idx val="1"/>
          <c:order val="1"/>
          <c:tx>
            <c:strRef>
              <c:f>'Model 3.0'!$H$31</c:f>
              <c:strCache>
                <c:ptCount val="1"/>
                <c:pt idx="0">
                  <c:v>Upper95%M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ED7D31"/>
                    </a:solidFill>
                  </a14:hiddenFill>
                </a:ext>
              </a:extLst>
            </c:spPr>
          </c:marker>
          <c:cat>
            <c:numRef>
              <c:f>'Model 3.0'!$A$32:$A$36</c:f>
              <c:numCache>
                <c:formatCode>0</c:formatCode>
                <c:ptCount val="5"/>
                <c:pt idx="0">
                  <c:v>246</c:v>
                </c:pt>
                <c:pt idx="1">
                  <c:v>247</c:v>
                </c:pt>
                <c:pt idx="2">
                  <c:v>248</c:v>
                </c:pt>
                <c:pt idx="3">
                  <c:v>249</c:v>
                </c:pt>
                <c:pt idx="4">
                  <c:v>250</c:v>
                </c:pt>
              </c:numCache>
            </c:numRef>
          </c:cat>
          <c:val>
            <c:numRef>
              <c:f>'Model 3.0'!$H$32:$H$36</c:f>
              <c:numCache>
                <c:formatCode>0.000</c:formatCode>
                <c:ptCount val="5"/>
                <c:pt idx="0">
                  <c:v>169.63793111116962</c:v>
                </c:pt>
                <c:pt idx="1">
                  <c:v>164.01992995150857</c:v>
                </c:pt>
                <c:pt idx="2">
                  <c:v>163.05956338889584</c:v>
                </c:pt>
                <c:pt idx="3">
                  <c:v>167.27472580257196</c:v>
                </c:pt>
                <c:pt idx="4">
                  <c:v>151.31522540530966</c:v>
                </c:pt>
              </c:numCache>
            </c:numRef>
          </c:val>
          <c:smooth val="0"/>
        </c:ser>
        <c:ser>
          <c:idx val="2"/>
          <c:order val="2"/>
          <c:tx>
            <c:strRef>
              <c:f>'Model 3.0'!$G$31</c:f>
              <c:strCache>
                <c:ptCount val="1"/>
                <c:pt idx="0">
                  <c:v>Lower95%M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A5A5A5"/>
                    </a:solidFill>
                  </a14:hiddenFill>
                </a:ext>
              </a:extLst>
            </c:spPr>
          </c:marker>
          <c:cat>
            <c:numRef>
              <c:f>'Model 3.0'!$A$32:$A$36</c:f>
              <c:numCache>
                <c:formatCode>0</c:formatCode>
                <c:ptCount val="5"/>
                <c:pt idx="0">
                  <c:v>246</c:v>
                </c:pt>
                <c:pt idx="1">
                  <c:v>247</c:v>
                </c:pt>
                <c:pt idx="2">
                  <c:v>248</c:v>
                </c:pt>
                <c:pt idx="3">
                  <c:v>249</c:v>
                </c:pt>
                <c:pt idx="4">
                  <c:v>250</c:v>
                </c:pt>
              </c:numCache>
            </c:numRef>
          </c:cat>
          <c:val>
            <c:numRef>
              <c:f>'Model 3.0'!$G$32:$G$36</c:f>
              <c:numCache>
                <c:formatCode>0.000</c:formatCode>
                <c:ptCount val="5"/>
                <c:pt idx="0">
                  <c:v>165.27868939672584</c:v>
                </c:pt>
                <c:pt idx="1">
                  <c:v>161.66825448249796</c:v>
                </c:pt>
                <c:pt idx="2">
                  <c:v>161.09575799170236</c:v>
                </c:pt>
                <c:pt idx="3">
                  <c:v>163.89835479909217</c:v>
                </c:pt>
                <c:pt idx="4">
                  <c:v>146.71250240732809</c:v>
                </c:pt>
              </c:numCache>
            </c:numRef>
          </c:val>
          <c:smooth val="0"/>
        </c:ser>
        <c:dLbls>
          <c:showLegendKey val="0"/>
          <c:showVal val="0"/>
          <c:showCatName val="0"/>
          <c:showSerName val="0"/>
          <c:showPercent val="0"/>
          <c:showBubbleSize val="0"/>
        </c:dLbls>
        <c:marker val="1"/>
        <c:smooth val="0"/>
        <c:axId val="1103566064"/>
        <c:axId val="1103565672"/>
      </c:lineChart>
      <c:catAx>
        <c:axId val="1103566064"/>
        <c:scaling>
          <c:orientation val="minMax"/>
        </c:scaling>
        <c:delete val="0"/>
        <c:axPos val="b"/>
        <c:numFmt formatCode="0" sourceLinked="1"/>
        <c:majorTickMark val="out"/>
        <c:minorTickMark val="none"/>
        <c:tickLblPos val="nextTo"/>
        <c:crossAx val="1103565672"/>
        <c:crossesAt val="130"/>
        <c:auto val="1"/>
        <c:lblAlgn val="ctr"/>
        <c:lblOffset val="100"/>
        <c:noMultiLvlLbl val="0"/>
      </c:catAx>
      <c:valAx>
        <c:axId val="1103565672"/>
        <c:scaling>
          <c:orientation val="minMax"/>
          <c:min val="130"/>
        </c:scaling>
        <c:delete val="0"/>
        <c:axPos val="l"/>
        <c:majorGridlines>
          <c:spPr>
            <a:ln w="3175">
              <a:solidFill>
                <a:srgbClr val="C0C0C0"/>
              </a:solidFill>
              <a:prstDash val="solid"/>
            </a:ln>
          </c:spPr>
        </c:majorGridlines>
        <c:numFmt formatCode="General" sourceLinked="0"/>
        <c:majorTickMark val="out"/>
        <c:minorTickMark val="none"/>
        <c:tickLblPos val="nextTo"/>
        <c:crossAx val="1103566064"/>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Calibri"/>
          <a:ea typeface="Calibri"/>
          <a:cs typeface="Calibri"/>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4.0'!$AA$2</c:f>
          <c:strCache>
            <c:ptCount val="1"/>
            <c:pt idx="0">
              <c:v>Forecasts and 95.0% confidence limits for means and forecasts
Model 4.0 for Y    (3 variables, no constant, n=245)</c:v>
            </c:pt>
          </c:strCache>
        </c:strRef>
      </c:tx>
      <c:overlay val="0"/>
      <c:txPr>
        <a:bodyPr/>
        <a:lstStyle/>
        <a:p>
          <a:pPr>
            <a:defRPr sz="1000"/>
          </a:pPr>
          <a:endParaRPr lang="en-US"/>
        </a:p>
      </c:txPr>
    </c:title>
    <c:autoTitleDeleted val="0"/>
    <c:plotArea>
      <c:layout/>
      <c:lineChart>
        <c:grouping val="standard"/>
        <c:varyColors val="0"/>
        <c:ser>
          <c:idx val="0"/>
          <c:order val="0"/>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4.0'!$CG$34:$CG$38</c:f>
                <c:numCache>
                  <c:formatCode>General</c:formatCode>
                  <c:ptCount val="5"/>
                  <c:pt idx="0">
                    <c:v>35.189991237951091</c:v>
                  </c:pt>
                  <c:pt idx="1">
                    <c:v>34.943096893495813</c:v>
                  </c:pt>
                  <c:pt idx="2">
                    <c:v>34.91040670123671</c:v>
                  </c:pt>
                  <c:pt idx="3">
                    <c:v>35.044603364753968</c:v>
                  </c:pt>
                  <c:pt idx="4">
                    <c:v>35.150440515106517</c:v>
                  </c:pt>
                </c:numCache>
              </c:numRef>
            </c:plus>
            <c:minus>
              <c:numRef>
                <c:f>'Model 4.0'!$CG$34:$CG$38</c:f>
                <c:numCache>
                  <c:formatCode>General</c:formatCode>
                  <c:ptCount val="5"/>
                  <c:pt idx="0">
                    <c:v>35.189991237951091</c:v>
                  </c:pt>
                  <c:pt idx="1">
                    <c:v>34.943096893495813</c:v>
                  </c:pt>
                  <c:pt idx="2">
                    <c:v>34.91040670123671</c:v>
                  </c:pt>
                  <c:pt idx="3">
                    <c:v>35.044603364753968</c:v>
                  </c:pt>
                  <c:pt idx="4">
                    <c:v>35.150440515106517</c:v>
                  </c:pt>
                </c:numCache>
              </c:numRef>
            </c:minus>
          </c:errBars>
          <c:cat>
            <c:numRef>
              <c:f>'Model 4.0'!$A$34:$A$38</c:f>
              <c:numCache>
                <c:formatCode>0</c:formatCode>
                <c:ptCount val="5"/>
                <c:pt idx="0">
                  <c:v>246</c:v>
                </c:pt>
                <c:pt idx="1">
                  <c:v>247</c:v>
                </c:pt>
                <c:pt idx="2">
                  <c:v>248</c:v>
                </c:pt>
                <c:pt idx="3">
                  <c:v>249</c:v>
                </c:pt>
                <c:pt idx="4">
                  <c:v>250</c:v>
                </c:pt>
              </c:numCache>
            </c:numRef>
          </c:cat>
          <c:val>
            <c:numRef>
              <c:f>'Model 4.0'!$B$34:$B$38</c:f>
              <c:numCache>
                <c:formatCode>0.000</c:formatCode>
                <c:ptCount val="5"/>
                <c:pt idx="0">
                  <c:v>175.20387565683458</c:v>
                </c:pt>
                <c:pt idx="1">
                  <c:v>161.87164023401854</c:v>
                </c:pt>
                <c:pt idx="2">
                  <c:v>161.47804768924331</c:v>
                </c:pt>
                <c:pt idx="3">
                  <c:v>158.5791430169414</c:v>
                </c:pt>
                <c:pt idx="4">
                  <c:v>130.18002942722399</c:v>
                </c:pt>
              </c:numCache>
            </c:numRef>
          </c:val>
          <c:smooth val="0"/>
        </c:ser>
        <c:ser>
          <c:idx val="1"/>
          <c:order val="1"/>
          <c:tx>
            <c:strRef>
              <c:f>'Model 4.0'!$H$33</c:f>
              <c:strCache>
                <c:ptCount val="1"/>
                <c:pt idx="0">
                  <c:v>Upper95%M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ED7D31"/>
                    </a:solidFill>
                  </a14:hiddenFill>
                </a:ext>
              </a:extLst>
            </c:spPr>
          </c:marker>
          <c:cat>
            <c:numRef>
              <c:f>'Model 4.0'!$A$34:$A$38</c:f>
              <c:numCache>
                <c:formatCode>0</c:formatCode>
                <c:ptCount val="5"/>
                <c:pt idx="0">
                  <c:v>246</c:v>
                </c:pt>
                <c:pt idx="1">
                  <c:v>247</c:v>
                </c:pt>
                <c:pt idx="2">
                  <c:v>248</c:v>
                </c:pt>
                <c:pt idx="3">
                  <c:v>249</c:v>
                </c:pt>
                <c:pt idx="4">
                  <c:v>250</c:v>
                </c:pt>
              </c:numCache>
            </c:numRef>
          </c:cat>
          <c:val>
            <c:numRef>
              <c:f>'Model 4.0'!$H$34:$H$38</c:f>
              <c:numCache>
                <c:formatCode>0.000</c:formatCode>
                <c:ptCount val="5"/>
                <c:pt idx="0">
                  <c:v>180.19182390141049</c:v>
                </c:pt>
                <c:pt idx="1">
                  <c:v>164.62194292131139</c:v>
                </c:pt>
                <c:pt idx="2">
                  <c:v>163.77601209480898</c:v>
                </c:pt>
                <c:pt idx="3">
                  <c:v>162.40907374169586</c:v>
                </c:pt>
                <c:pt idx="4">
                  <c:v>134.8808392265602</c:v>
                </c:pt>
              </c:numCache>
            </c:numRef>
          </c:val>
          <c:smooth val="0"/>
        </c:ser>
        <c:ser>
          <c:idx val="2"/>
          <c:order val="2"/>
          <c:tx>
            <c:strRef>
              <c:f>'Model 4.0'!$G$33</c:f>
              <c:strCache>
                <c:ptCount val="1"/>
                <c:pt idx="0">
                  <c:v>Lower95%M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A5A5A5"/>
                    </a:solidFill>
                  </a14:hiddenFill>
                </a:ext>
              </a:extLst>
            </c:spPr>
          </c:marker>
          <c:cat>
            <c:numRef>
              <c:f>'Model 4.0'!$A$34:$A$38</c:f>
              <c:numCache>
                <c:formatCode>0</c:formatCode>
                <c:ptCount val="5"/>
                <c:pt idx="0">
                  <c:v>246</c:v>
                </c:pt>
                <c:pt idx="1">
                  <c:v>247</c:v>
                </c:pt>
                <c:pt idx="2">
                  <c:v>248</c:v>
                </c:pt>
                <c:pt idx="3">
                  <c:v>249</c:v>
                </c:pt>
                <c:pt idx="4">
                  <c:v>250</c:v>
                </c:pt>
              </c:numCache>
            </c:numRef>
          </c:cat>
          <c:val>
            <c:numRef>
              <c:f>'Model 4.0'!$G$34:$G$38</c:f>
              <c:numCache>
                <c:formatCode>0.000</c:formatCode>
                <c:ptCount val="5"/>
                <c:pt idx="0">
                  <c:v>170.21592741225868</c:v>
                </c:pt>
                <c:pt idx="1">
                  <c:v>159.1213375467257</c:v>
                </c:pt>
                <c:pt idx="2">
                  <c:v>159.18008328367765</c:v>
                </c:pt>
                <c:pt idx="3">
                  <c:v>154.74921229218694</c:v>
                </c:pt>
                <c:pt idx="4">
                  <c:v>125.47921962788779</c:v>
                </c:pt>
              </c:numCache>
            </c:numRef>
          </c:val>
          <c:smooth val="0"/>
        </c:ser>
        <c:dLbls>
          <c:showLegendKey val="0"/>
          <c:showVal val="0"/>
          <c:showCatName val="0"/>
          <c:showSerName val="0"/>
          <c:showPercent val="0"/>
          <c:showBubbleSize val="0"/>
        </c:dLbls>
        <c:marker val="1"/>
        <c:smooth val="0"/>
        <c:axId val="1103552736"/>
        <c:axId val="1103562536"/>
      </c:lineChart>
      <c:catAx>
        <c:axId val="1103552736"/>
        <c:scaling>
          <c:orientation val="minMax"/>
        </c:scaling>
        <c:delete val="0"/>
        <c:axPos val="b"/>
        <c:numFmt formatCode="0" sourceLinked="1"/>
        <c:majorTickMark val="out"/>
        <c:minorTickMark val="none"/>
        <c:tickLblPos val="nextTo"/>
        <c:crossAx val="1103562536"/>
        <c:crossesAt val="80"/>
        <c:auto val="1"/>
        <c:lblAlgn val="ctr"/>
        <c:lblOffset val="100"/>
        <c:noMultiLvlLbl val="0"/>
      </c:catAx>
      <c:valAx>
        <c:axId val="1103562536"/>
        <c:scaling>
          <c:orientation val="minMax"/>
          <c:min val="80"/>
        </c:scaling>
        <c:delete val="0"/>
        <c:axPos val="l"/>
        <c:majorGridlines>
          <c:spPr>
            <a:ln w="3175">
              <a:solidFill>
                <a:srgbClr val="C0C0C0"/>
              </a:solidFill>
              <a:prstDash val="solid"/>
            </a:ln>
          </c:spPr>
        </c:majorGridlines>
        <c:numFmt formatCode="General" sourceLinked="0"/>
        <c:majorTickMark val="out"/>
        <c:minorTickMark val="none"/>
        <c:tickLblPos val="nextTo"/>
        <c:crossAx val="1103552736"/>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(n = 245, mean = 1.224, slope = -0.129 per year)</a:t>
            </a:r>
          </a:p>
        </c:rich>
      </c:tx>
      <c:layout/>
      <c:overlay val="0"/>
    </c:title>
    <c:autoTitleDeleted val="0"/>
    <c:plotArea>
      <c:layout>
        <c:manualLayout>
          <c:xMode val="edge"/>
          <c:yMode val="edge"/>
          <c:x val="3.0555490265209387E-2"/>
          <c:y val="0.13333333333333333"/>
          <c:w val="0.96944450973479057"/>
          <c:h val="0.8666666666666667"/>
        </c:manualLayout>
      </c:layout>
      <c:scatterChart>
        <c:scatterStyle val="lineMarker"/>
        <c:varyColors val="0"/>
        <c:ser>
          <c:idx val="0"/>
          <c:order val="0"/>
          <c:spPr>
            <a:ln w="9525" cap="rnd" cmpd="sng" algn="ctr">
              <a:solidFill>
                <a:srgbClr val="0000FF"/>
              </a:solidFill>
              <a:prstDash val="solid"/>
              <a:round/>
              <a:headEnd type="none" w="med" len="med"/>
              <a:tailEnd type="none" w="med" len="med"/>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spPr>
              <a:ln w="3175">
                <a:solidFill>
                  <a:srgbClr val="969696"/>
                </a:solidFill>
                <a:prstDash val="solid"/>
              </a:ln>
            </c:spPr>
            <c:trendlineType val="linear"/>
            <c:dispRSqr val="0"/>
            <c:dispEq val="0"/>
          </c:trendline>
          <c:xVal>
            <c:numLit>
              <c:formatCode>General</c:formatCode>
              <c:ptCount val="245"/>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pt idx="156">
                <c:v>40179</c:v>
              </c:pt>
              <c:pt idx="157">
                <c:v>40210</c:v>
              </c:pt>
              <c:pt idx="158">
                <c:v>40238</c:v>
              </c:pt>
              <c:pt idx="159">
                <c:v>40269</c:v>
              </c:pt>
              <c:pt idx="160">
                <c:v>40299</c:v>
              </c:pt>
              <c:pt idx="161">
                <c:v>40330</c:v>
              </c:pt>
              <c:pt idx="162">
                <c:v>40360</c:v>
              </c:pt>
              <c:pt idx="163">
                <c:v>40391</c:v>
              </c:pt>
              <c:pt idx="164">
                <c:v>40422</c:v>
              </c:pt>
              <c:pt idx="165">
                <c:v>40452</c:v>
              </c:pt>
              <c:pt idx="166">
                <c:v>40483</c:v>
              </c:pt>
              <c:pt idx="167">
                <c:v>40513</c:v>
              </c:pt>
              <c:pt idx="168">
                <c:v>40544</c:v>
              </c:pt>
              <c:pt idx="169">
                <c:v>40575</c:v>
              </c:pt>
              <c:pt idx="170">
                <c:v>40603</c:v>
              </c:pt>
              <c:pt idx="171">
                <c:v>40634</c:v>
              </c:pt>
              <c:pt idx="172">
                <c:v>40664</c:v>
              </c:pt>
              <c:pt idx="173">
                <c:v>40695</c:v>
              </c:pt>
              <c:pt idx="174">
                <c:v>40725</c:v>
              </c:pt>
              <c:pt idx="175">
                <c:v>40756</c:v>
              </c:pt>
              <c:pt idx="176">
                <c:v>40787</c:v>
              </c:pt>
              <c:pt idx="177">
                <c:v>40817</c:v>
              </c:pt>
              <c:pt idx="178">
                <c:v>40848</c:v>
              </c:pt>
              <c:pt idx="179">
                <c:v>40878</c:v>
              </c:pt>
              <c:pt idx="180">
                <c:v>40909</c:v>
              </c:pt>
              <c:pt idx="181">
                <c:v>40940</c:v>
              </c:pt>
              <c:pt idx="182">
                <c:v>40969</c:v>
              </c:pt>
              <c:pt idx="183">
                <c:v>41000</c:v>
              </c:pt>
              <c:pt idx="184">
                <c:v>41030</c:v>
              </c:pt>
              <c:pt idx="185">
                <c:v>41061</c:v>
              </c:pt>
              <c:pt idx="186">
                <c:v>41091</c:v>
              </c:pt>
              <c:pt idx="187">
                <c:v>41122</c:v>
              </c:pt>
              <c:pt idx="188">
                <c:v>41153</c:v>
              </c:pt>
              <c:pt idx="189">
                <c:v>41183</c:v>
              </c:pt>
              <c:pt idx="190">
                <c:v>41214</c:v>
              </c:pt>
              <c:pt idx="191">
                <c:v>41244</c:v>
              </c:pt>
              <c:pt idx="192">
                <c:v>41275</c:v>
              </c:pt>
              <c:pt idx="193">
                <c:v>41306</c:v>
              </c:pt>
              <c:pt idx="194">
                <c:v>41334</c:v>
              </c:pt>
              <c:pt idx="195">
                <c:v>41365</c:v>
              </c:pt>
              <c:pt idx="196">
                <c:v>41395</c:v>
              </c:pt>
              <c:pt idx="197">
                <c:v>41426</c:v>
              </c:pt>
              <c:pt idx="198">
                <c:v>41456</c:v>
              </c:pt>
              <c:pt idx="199">
                <c:v>41487</c:v>
              </c:pt>
              <c:pt idx="200">
                <c:v>41518</c:v>
              </c:pt>
              <c:pt idx="201">
                <c:v>41548</c:v>
              </c:pt>
              <c:pt idx="202">
                <c:v>41579</c:v>
              </c:pt>
              <c:pt idx="203">
                <c:v>41609</c:v>
              </c:pt>
              <c:pt idx="204">
                <c:v>41640</c:v>
              </c:pt>
              <c:pt idx="205">
                <c:v>41671</c:v>
              </c:pt>
              <c:pt idx="206">
                <c:v>41699</c:v>
              </c:pt>
              <c:pt idx="207">
                <c:v>41730</c:v>
              </c:pt>
              <c:pt idx="208">
                <c:v>41760</c:v>
              </c:pt>
              <c:pt idx="209">
                <c:v>41791</c:v>
              </c:pt>
              <c:pt idx="210">
                <c:v>41821</c:v>
              </c:pt>
              <c:pt idx="211">
                <c:v>41852</c:v>
              </c:pt>
              <c:pt idx="212">
                <c:v>41883</c:v>
              </c:pt>
              <c:pt idx="213">
                <c:v>41913</c:v>
              </c:pt>
              <c:pt idx="214">
                <c:v>41944</c:v>
              </c:pt>
              <c:pt idx="215">
                <c:v>41974</c:v>
              </c:pt>
              <c:pt idx="216">
                <c:v>42005</c:v>
              </c:pt>
              <c:pt idx="217">
                <c:v>42036</c:v>
              </c:pt>
              <c:pt idx="218">
                <c:v>42064</c:v>
              </c:pt>
              <c:pt idx="219">
                <c:v>42095</c:v>
              </c:pt>
              <c:pt idx="220">
                <c:v>42125</c:v>
              </c:pt>
              <c:pt idx="221">
                <c:v>42156</c:v>
              </c:pt>
              <c:pt idx="222">
                <c:v>42186</c:v>
              </c:pt>
              <c:pt idx="223">
                <c:v>42217</c:v>
              </c:pt>
              <c:pt idx="224">
                <c:v>42248</c:v>
              </c:pt>
              <c:pt idx="225">
                <c:v>42278</c:v>
              </c:pt>
              <c:pt idx="226">
                <c:v>42309</c:v>
              </c:pt>
              <c:pt idx="227">
                <c:v>42339</c:v>
              </c:pt>
              <c:pt idx="228">
                <c:v>42370</c:v>
              </c:pt>
              <c:pt idx="229">
                <c:v>42401</c:v>
              </c:pt>
              <c:pt idx="230">
                <c:v>42430</c:v>
              </c:pt>
              <c:pt idx="231">
                <c:v>42461</c:v>
              </c:pt>
              <c:pt idx="232">
                <c:v>42491</c:v>
              </c:pt>
              <c:pt idx="233">
                <c:v>42522</c:v>
              </c:pt>
              <c:pt idx="234">
                <c:v>42552</c:v>
              </c:pt>
              <c:pt idx="235">
                <c:v>42583</c:v>
              </c:pt>
              <c:pt idx="236">
                <c:v>42614</c:v>
              </c:pt>
              <c:pt idx="237">
                <c:v>42644</c:v>
              </c:pt>
              <c:pt idx="238">
                <c:v>42675</c:v>
              </c:pt>
              <c:pt idx="239">
                <c:v>42705</c:v>
              </c:pt>
              <c:pt idx="240">
                <c:v>42736</c:v>
              </c:pt>
              <c:pt idx="241">
                <c:v>42767</c:v>
              </c:pt>
              <c:pt idx="242">
                <c:v>42795</c:v>
              </c:pt>
              <c:pt idx="243">
                <c:v>42826</c:v>
              </c:pt>
              <c:pt idx="244">
                <c:v>42856</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ser>
        <c:dLbls>
          <c:showLegendKey val="0"/>
          <c:showVal val="0"/>
          <c:showCatName val="0"/>
          <c:showSerName val="0"/>
          <c:showPercent val="0"/>
          <c:showBubbleSize val="0"/>
        </c:dLbls>
        <c:axId val="1076644120"/>
        <c:axId val="1076644512"/>
      </c:scatterChart>
      <c:valAx>
        <c:axId val="1076644120"/>
        <c:scaling>
          <c:orientation val="minMax"/>
          <c:min val="35431"/>
        </c:scaling>
        <c:delete val="0"/>
        <c:axPos val="b"/>
        <c:majorGridlines>
          <c:spPr>
            <a:ln w="3175">
              <a:solidFill>
                <a:srgbClr val="C8C8C8"/>
              </a:solidFill>
              <a:prstDash val="solid"/>
            </a:ln>
          </c:spPr>
        </c:majorGridlines>
        <c:numFmt formatCode="mm\-yyyy"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076644512"/>
        <c:crossesAt val="-100000000"/>
        <c:crossBetween val="midCat"/>
      </c:valAx>
      <c:valAx>
        <c:axId val="1076644512"/>
        <c:scaling>
          <c:orientation val="minMax"/>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076644120"/>
        <c:crossesAt val="35431"/>
        <c:crossBetween val="midCat"/>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(n=245, mean=161.771)</a:t>
            </a:r>
          </a:p>
        </c:rich>
      </c:tx>
      <c:layout/>
      <c:overlay val="0"/>
    </c:title>
    <c:autoTitleDeleted val="0"/>
    <c:plotArea>
      <c:layout/>
      <c:barChart>
        <c:barDir val="col"/>
        <c:grouping val="clustered"/>
        <c:varyColors val="0"/>
        <c:ser>
          <c:idx val="0"/>
          <c:order val="0"/>
          <c:spPr>
            <a:solidFill>
              <a:srgbClr val="9999FF"/>
            </a:solidFill>
            <a:ln w="9525" cap="flat" cmpd="sng" algn="ctr">
              <a:solidFill>
                <a:srgbClr val="0000FF"/>
              </a:solidFill>
              <a:prstDash val="solid"/>
              <a:round/>
              <a:headEnd type="none" w="med" len="med"/>
              <a:tailEnd type="none" w="med" len="med"/>
            </a:ln>
            <a:effectLst/>
          </c:spPr>
          <c:invertIfNegative val="0"/>
          <c:cat>
            <c:numLit>
              <c:formatCode>General</c:formatCode>
              <c:ptCount val="10"/>
              <c:pt idx="0">
                <c:v>122.9</c:v>
              </c:pt>
              <c:pt idx="1">
                <c:v>131.80000000000001</c:v>
              </c:pt>
              <c:pt idx="2">
                <c:v>140.69999999999999</c:v>
              </c:pt>
              <c:pt idx="3">
                <c:v>149.6</c:v>
              </c:pt>
              <c:pt idx="4">
                <c:v>158.5</c:v>
              </c:pt>
              <c:pt idx="5">
                <c:v>167.4</c:v>
              </c:pt>
              <c:pt idx="6">
                <c:v>176.3</c:v>
              </c:pt>
              <c:pt idx="7">
                <c:v>185.2</c:v>
              </c:pt>
              <c:pt idx="8">
                <c:v>194.1</c:v>
              </c:pt>
              <c:pt idx="9">
                <c:v>203</c:v>
              </c:pt>
            </c:numLit>
          </c:cat>
          <c:val>
            <c:numLit>
              <c:formatCode>General</c:formatCode>
              <c:ptCount val="10"/>
              <c:pt idx="0">
                <c:v>2</c:v>
              </c:pt>
              <c:pt idx="1">
                <c:v>3</c:v>
              </c:pt>
              <c:pt idx="2">
                <c:v>7</c:v>
              </c:pt>
              <c:pt idx="3">
                <c:v>21</c:v>
              </c:pt>
              <c:pt idx="4">
                <c:v>60</c:v>
              </c:pt>
              <c:pt idx="5">
                <c:v>72</c:v>
              </c:pt>
              <c:pt idx="6">
                <c:v>55</c:v>
              </c:pt>
              <c:pt idx="7">
                <c:v>14</c:v>
              </c:pt>
              <c:pt idx="8">
                <c:v>9</c:v>
              </c:pt>
              <c:pt idx="9">
                <c:v>2</c:v>
              </c:pt>
            </c:numLit>
          </c:val>
        </c:ser>
        <c:dLbls>
          <c:showLegendKey val="0"/>
          <c:showVal val="0"/>
          <c:showCatName val="0"/>
          <c:showSerName val="0"/>
          <c:showPercent val="0"/>
          <c:showBubbleSize val="0"/>
        </c:dLbls>
        <c:gapWidth val="0"/>
        <c:axId val="1076645296"/>
        <c:axId val="1076645688"/>
      </c:barChart>
      <c:catAx>
        <c:axId val="1076645296"/>
        <c:scaling>
          <c:orientation val="minMax"/>
        </c:scaling>
        <c:delete val="0"/>
        <c:axPos val="b"/>
        <c:title>
          <c:tx>
            <c:rich>
              <a:bodyPr/>
              <a:lstStyle/>
              <a:p>
                <a:pPr>
                  <a:defRPr/>
                </a:pPr>
                <a:r>
                  <a:rPr lang="en-US"/>
                  <a:t>Min = 114.000           Midpoint = 158.500           Max = 203</a:t>
                </a:r>
              </a:p>
            </c:rich>
          </c:tx>
          <c:layout/>
          <c:overlay val="0"/>
        </c:title>
        <c:numFmt formatCode="General" sourceLinked="1"/>
        <c:majorTickMark val="out"/>
        <c:minorTickMark val="none"/>
        <c:tickLblPos val="none"/>
        <c:spPr>
          <a:ln>
            <a:solidFill>
              <a:srgbClr val="7F7F7F"/>
            </a:solidFill>
            <a:prstDash val="solid"/>
          </a:ln>
        </c:spPr>
        <c:crossAx val="1076645688"/>
        <c:crossesAt val="0"/>
        <c:auto val="1"/>
        <c:lblAlgn val="ctr"/>
        <c:lblOffset val="100"/>
        <c:noMultiLvlLbl val="0"/>
      </c:catAx>
      <c:valAx>
        <c:axId val="1076645688"/>
        <c:scaling>
          <c:orientation val="minMax"/>
        </c:scaling>
        <c:delete val="0"/>
        <c:axPos val="l"/>
        <c:majorGridlines>
          <c:spPr>
            <a:ln w="3175">
              <a:solidFill>
                <a:srgbClr val="C8C8C8"/>
              </a:solidFill>
              <a:prstDash val="solid"/>
            </a:ln>
          </c:spPr>
        </c:majorGridlines>
        <c:numFmt formatCode="General" sourceLinked="1"/>
        <c:majorTickMark val="out"/>
        <c:minorTickMark val="none"/>
        <c:tickLblPos val="nextTo"/>
        <c:spPr>
          <a:ln>
            <a:solidFill>
              <a:srgbClr val="7F7F7F"/>
            </a:solidFill>
            <a:prstDash val="solid"/>
          </a:ln>
        </c:spPr>
        <c:crossAx val="1076645296"/>
        <c:crosses val="autoZero"/>
        <c:crossBetween val="between"/>
      </c:valAx>
      <c:spPr>
        <a:ln w="3175">
          <a:solidFill>
            <a:srgbClr val="7F7F7F"/>
          </a:solidFill>
          <a:prstDash val="soli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(n=245, mean=35.992)</a:t>
            </a:r>
          </a:p>
        </c:rich>
      </c:tx>
      <c:layout/>
      <c:overlay val="0"/>
    </c:title>
    <c:autoTitleDeleted val="0"/>
    <c:plotArea>
      <c:layout/>
      <c:barChart>
        <c:barDir val="col"/>
        <c:grouping val="clustered"/>
        <c:varyColors val="0"/>
        <c:ser>
          <c:idx val="0"/>
          <c:order val="0"/>
          <c:spPr>
            <a:solidFill>
              <a:srgbClr val="9999FF"/>
            </a:solidFill>
            <a:ln w="9525" cap="flat" cmpd="sng" algn="ctr">
              <a:solidFill>
                <a:srgbClr val="0000FF"/>
              </a:solidFill>
              <a:prstDash val="solid"/>
              <a:round/>
              <a:headEnd type="none" w="med" len="med"/>
              <a:tailEnd type="none" w="med" len="med"/>
            </a:ln>
            <a:effectLst/>
          </c:spPr>
          <c:invertIfNegative val="0"/>
          <c:cat>
            <c:numLit>
              <c:formatCode>General</c:formatCode>
              <c:ptCount val="10"/>
              <c:pt idx="0">
                <c:v>10.199999999999999</c:v>
              </c:pt>
              <c:pt idx="1">
                <c:v>16.399999999999999</c:v>
              </c:pt>
              <c:pt idx="2">
                <c:v>22.6</c:v>
              </c:pt>
              <c:pt idx="3">
                <c:v>28.8</c:v>
              </c:pt>
              <c:pt idx="4">
                <c:v>35</c:v>
              </c:pt>
              <c:pt idx="5">
                <c:v>41.2</c:v>
              </c:pt>
              <c:pt idx="6">
                <c:v>47.4</c:v>
              </c:pt>
              <c:pt idx="7">
                <c:v>53.6</c:v>
              </c:pt>
              <c:pt idx="8">
                <c:v>59.800000000000004</c:v>
              </c:pt>
              <c:pt idx="9">
                <c:v>66</c:v>
              </c:pt>
            </c:numLit>
          </c:cat>
          <c:val>
            <c:numLit>
              <c:formatCode>General</c:formatCode>
              <c:ptCount val="10"/>
              <c:pt idx="0">
                <c:v>3</c:v>
              </c:pt>
              <c:pt idx="1">
                <c:v>5</c:v>
              </c:pt>
              <c:pt idx="2">
                <c:v>14</c:v>
              </c:pt>
              <c:pt idx="3">
                <c:v>33</c:v>
              </c:pt>
              <c:pt idx="4">
                <c:v>67</c:v>
              </c:pt>
              <c:pt idx="5">
                <c:v>48</c:v>
              </c:pt>
              <c:pt idx="6">
                <c:v>43</c:v>
              </c:pt>
              <c:pt idx="7">
                <c:v>25</c:v>
              </c:pt>
              <c:pt idx="8">
                <c:v>4</c:v>
              </c:pt>
              <c:pt idx="9">
                <c:v>3</c:v>
              </c:pt>
            </c:numLit>
          </c:val>
        </c:ser>
        <c:dLbls>
          <c:showLegendKey val="0"/>
          <c:showVal val="0"/>
          <c:showCatName val="0"/>
          <c:showSerName val="0"/>
          <c:showPercent val="0"/>
          <c:showBubbleSize val="0"/>
        </c:dLbls>
        <c:gapWidth val="0"/>
        <c:axId val="1103566456"/>
        <c:axId val="1103554304"/>
      </c:barChart>
      <c:catAx>
        <c:axId val="1103566456"/>
        <c:scaling>
          <c:orientation val="minMax"/>
        </c:scaling>
        <c:delete val="0"/>
        <c:axPos val="b"/>
        <c:title>
          <c:tx>
            <c:rich>
              <a:bodyPr/>
              <a:lstStyle/>
              <a:p>
                <a:pPr>
                  <a:defRPr/>
                </a:pPr>
                <a:r>
                  <a:rPr lang="en-US"/>
                  <a:t>Min = 4.000           Midpoint = 35.000           Max = 66.0</a:t>
                </a:r>
              </a:p>
            </c:rich>
          </c:tx>
          <c:layout/>
          <c:overlay val="0"/>
        </c:title>
        <c:numFmt formatCode="General" sourceLinked="1"/>
        <c:majorTickMark val="out"/>
        <c:minorTickMark val="none"/>
        <c:tickLblPos val="none"/>
        <c:spPr>
          <a:ln>
            <a:solidFill>
              <a:srgbClr val="7F7F7F"/>
            </a:solidFill>
            <a:prstDash val="solid"/>
          </a:ln>
        </c:spPr>
        <c:crossAx val="1103554304"/>
        <c:crossesAt val="0"/>
        <c:auto val="1"/>
        <c:lblAlgn val="ctr"/>
        <c:lblOffset val="100"/>
        <c:noMultiLvlLbl val="0"/>
      </c:catAx>
      <c:valAx>
        <c:axId val="1103554304"/>
        <c:scaling>
          <c:orientation val="minMax"/>
        </c:scaling>
        <c:delete val="0"/>
        <c:axPos val="l"/>
        <c:majorGridlines>
          <c:spPr>
            <a:ln w="3175">
              <a:solidFill>
                <a:srgbClr val="C8C8C8"/>
              </a:solidFill>
              <a:prstDash val="solid"/>
            </a:ln>
          </c:spPr>
        </c:majorGridlines>
        <c:numFmt formatCode="General" sourceLinked="1"/>
        <c:majorTickMark val="out"/>
        <c:minorTickMark val="none"/>
        <c:tickLblPos val="nextTo"/>
        <c:spPr>
          <a:ln>
            <a:solidFill>
              <a:srgbClr val="7F7F7F"/>
            </a:solidFill>
            <a:prstDash val="solid"/>
          </a:ln>
        </c:spPr>
        <c:crossAx val="1103566456"/>
        <c:crosses val="autoZero"/>
        <c:crossBetween val="between"/>
      </c:valAx>
      <c:spPr>
        <a:ln w="3175">
          <a:solidFill>
            <a:srgbClr val="7F7F7F"/>
          </a:solidFill>
          <a:prstDash val="soli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(n=245, mean=1.224)</a:t>
            </a:r>
          </a:p>
        </c:rich>
      </c:tx>
      <c:overlay val="0"/>
    </c:title>
    <c:autoTitleDeleted val="0"/>
    <c:plotArea>
      <c:layout/>
      <c:barChart>
        <c:barDir val="col"/>
        <c:grouping val="clustered"/>
        <c:varyColors val="0"/>
        <c:ser>
          <c:idx val="0"/>
          <c:order val="0"/>
          <c:spPr>
            <a:solidFill>
              <a:srgbClr val="9999FF"/>
            </a:solidFill>
            <a:ln w="9525" cap="flat" cmpd="sng" algn="ctr">
              <a:solidFill>
                <a:srgbClr val="0000FF"/>
              </a:solidFill>
              <a:prstDash val="solid"/>
              <a:round/>
              <a:headEnd type="none" w="med" len="med"/>
              <a:tailEnd type="none" w="med" len="med"/>
            </a:ln>
            <a:effectLst/>
          </c:spPr>
          <c:invertIfNegative val="0"/>
          <c:cat>
            <c:numLit>
              <c:formatCode>General</c:formatCode>
              <c:ptCount val="10"/>
              <c:pt idx="0">
                <c:v>-19.7</c:v>
              </c:pt>
              <c:pt idx="1">
                <c:v>-14.4</c:v>
              </c:pt>
              <c:pt idx="2">
                <c:v>-9.1000000000000014</c:v>
              </c:pt>
              <c:pt idx="3">
                <c:v>-3.8000000000000007</c:v>
              </c:pt>
              <c:pt idx="4">
                <c:v>1.4999999999999991</c:v>
              </c:pt>
              <c:pt idx="5">
                <c:v>6.7999999999999989</c:v>
              </c:pt>
              <c:pt idx="6">
                <c:v>12.099999999999998</c:v>
              </c:pt>
              <c:pt idx="7">
                <c:v>17.399999999999999</c:v>
              </c:pt>
              <c:pt idx="8">
                <c:v>22.7</c:v>
              </c:pt>
              <c:pt idx="9">
                <c:v>28</c:v>
              </c:pt>
            </c:numLit>
          </c:cat>
          <c:val>
            <c:numLit>
              <c:formatCode>General</c:formatCode>
              <c:ptCount val="10"/>
              <c:pt idx="0">
                <c:v>5</c:v>
              </c:pt>
              <c:pt idx="1">
                <c:v>9</c:v>
              </c:pt>
              <c:pt idx="2">
                <c:v>25</c:v>
              </c:pt>
              <c:pt idx="3">
                <c:v>37</c:v>
              </c:pt>
              <c:pt idx="4">
                <c:v>49</c:v>
              </c:pt>
              <c:pt idx="5">
                <c:v>44</c:v>
              </c:pt>
              <c:pt idx="6">
                <c:v>46</c:v>
              </c:pt>
              <c:pt idx="7">
                <c:v>15</c:v>
              </c:pt>
              <c:pt idx="8">
                <c:v>10</c:v>
              </c:pt>
              <c:pt idx="9">
                <c:v>5</c:v>
              </c:pt>
            </c:numLit>
          </c:val>
        </c:ser>
        <c:dLbls>
          <c:showLegendKey val="0"/>
          <c:showVal val="0"/>
          <c:showCatName val="0"/>
          <c:showSerName val="0"/>
          <c:showPercent val="0"/>
          <c:showBubbleSize val="0"/>
        </c:dLbls>
        <c:gapWidth val="0"/>
        <c:axId val="1103579000"/>
        <c:axId val="1103556264"/>
      </c:barChart>
      <c:catAx>
        <c:axId val="1103579000"/>
        <c:scaling>
          <c:orientation val="minMax"/>
        </c:scaling>
        <c:delete val="0"/>
        <c:axPos val="b"/>
        <c:title>
          <c:tx>
            <c:rich>
              <a:bodyPr/>
              <a:lstStyle/>
              <a:p>
                <a:pPr>
                  <a:defRPr/>
                </a:pPr>
                <a:r>
                  <a:rPr lang="en-US"/>
                  <a:t>Min = -25.000           Midpoint = 1.500           Max = 28.0</a:t>
                </a:r>
              </a:p>
            </c:rich>
          </c:tx>
          <c:overlay val="0"/>
        </c:title>
        <c:numFmt formatCode="General" sourceLinked="1"/>
        <c:majorTickMark val="out"/>
        <c:minorTickMark val="none"/>
        <c:tickLblPos val="none"/>
        <c:spPr>
          <a:ln>
            <a:solidFill>
              <a:srgbClr val="7F7F7F"/>
            </a:solidFill>
            <a:prstDash val="solid"/>
          </a:ln>
        </c:spPr>
        <c:crossAx val="1103556264"/>
        <c:crossesAt val="0"/>
        <c:auto val="1"/>
        <c:lblAlgn val="ctr"/>
        <c:lblOffset val="100"/>
        <c:noMultiLvlLbl val="0"/>
      </c:catAx>
      <c:valAx>
        <c:axId val="1103556264"/>
        <c:scaling>
          <c:orientation val="minMax"/>
        </c:scaling>
        <c:delete val="0"/>
        <c:axPos val="l"/>
        <c:majorGridlines>
          <c:spPr>
            <a:ln w="3175">
              <a:solidFill>
                <a:srgbClr val="C8C8C8"/>
              </a:solidFill>
              <a:prstDash val="solid"/>
            </a:ln>
          </c:spPr>
        </c:majorGridlines>
        <c:numFmt formatCode="General" sourceLinked="1"/>
        <c:majorTickMark val="out"/>
        <c:minorTickMark val="none"/>
        <c:tickLblPos val="nextTo"/>
        <c:spPr>
          <a:ln>
            <a:solidFill>
              <a:srgbClr val="7F7F7F"/>
            </a:solidFill>
            <a:prstDash val="solid"/>
          </a:ln>
        </c:spPr>
        <c:crossAx val="1103579000"/>
        <c:crosses val="autoZero"/>
        <c:crossBetween val="between"/>
      </c:valAx>
      <c:spPr>
        <a:ln w="3175">
          <a:solidFill>
            <a:srgbClr val="7F7F7F"/>
          </a:solidFill>
          <a:prstDash val="soli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vs.
Y
r = 1.000,  r-squared = 1.000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161.771428571429</c:v>
              </c:pt>
            </c:numLit>
          </c:xVal>
          <c:yVal>
            <c:numLit>
              <c:formatCode>General</c:formatCode>
              <c:ptCount val="1"/>
              <c:pt idx="0">
                <c:v>161.771428571429</c:v>
              </c:pt>
            </c:numLit>
          </c:yVal>
          <c:smooth val="0"/>
        </c:ser>
        <c:dLbls>
          <c:showLegendKey val="0"/>
          <c:showVal val="0"/>
          <c:showCatName val="0"/>
          <c:showSerName val="0"/>
          <c:showPercent val="0"/>
          <c:showBubbleSize val="0"/>
        </c:dLbls>
        <c:axId val="1103571944"/>
        <c:axId val="1103570768"/>
      </c:scatterChart>
      <c:valAx>
        <c:axId val="1103571944"/>
        <c:scaling>
          <c:orientation val="minMax"/>
          <c:max val="203"/>
          <c:min val="11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70768"/>
        <c:crossesAt val="114"/>
        <c:crossBetween val="midCat"/>
        <c:majorUnit val="44.5"/>
      </c:valAx>
      <c:valAx>
        <c:axId val="1103570768"/>
        <c:scaling>
          <c:orientation val="minMax"/>
          <c:max val="203"/>
          <c:min val="11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71944"/>
        <c:crossesAt val="114"/>
        <c:crossBetween val="midCat"/>
        <c:majorUnit val="44.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vs.
X_1
r = 0.703,  r-squared = 0.495</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35.991836734693898</c:v>
              </c:pt>
            </c:numLit>
          </c:xVal>
          <c:yVal>
            <c:numLit>
              <c:formatCode>General</c:formatCode>
              <c:ptCount val="1"/>
              <c:pt idx="0">
                <c:v>161.771428571429</c:v>
              </c:pt>
            </c:numLit>
          </c:yVal>
          <c:smooth val="0"/>
        </c:ser>
        <c:dLbls>
          <c:showLegendKey val="0"/>
          <c:showVal val="0"/>
          <c:showCatName val="0"/>
          <c:showSerName val="0"/>
          <c:showPercent val="0"/>
          <c:showBubbleSize val="0"/>
        </c:dLbls>
        <c:axId val="1103551560"/>
        <c:axId val="1103569592"/>
      </c:scatterChart>
      <c:valAx>
        <c:axId val="1103551560"/>
        <c:scaling>
          <c:orientation val="minMax"/>
          <c:max val="66"/>
          <c:min val="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69592"/>
        <c:crossesAt val="114"/>
        <c:crossBetween val="midCat"/>
        <c:majorUnit val="31"/>
      </c:valAx>
      <c:valAx>
        <c:axId val="1103569592"/>
        <c:scaling>
          <c:orientation val="minMax"/>
          <c:max val="203"/>
          <c:min val="11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51560"/>
        <c:crossesAt val="4"/>
        <c:crossBetween val="midCat"/>
        <c:majorUnit val="44.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vs.
X_2
r = -0.017,  r-squared = 0.000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1.22448979591837</c:v>
              </c:pt>
            </c:numLit>
          </c:xVal>
          <c:yVal>
            <c:numLit>
              <c:formatCode>General</c:formatCode>
              <c:ptCount val="1"/>
              <c:pt idx="0">
                <c:v>161.771428571429</c:v>
              </c:pt>
            </c:numLit>
          </c:yVal>
          <c:smooth val="0"/>
        </c:ser>
        <c:dLbls>
          <c:showLegendKey val="0"/>
          <c:showVal val="0"/>
          <c:showCatName val="0"/>
          <c:showSerName val="0"/>
          <c:showPercent val="0"/>
          <c:showBubbleSize val="0"/>
        </c:dLbls>
        <c:axId val="1103553912"/>
        <c:axId val="1103555088"/>
      </c:scatterChart>
      <c:valAx>
        <c:axId val="1103553912"/>
        <c:scaling>
          <c:orientation val="minMax"/>
          <c:max val="28"/>
          <c:min val="-25"/>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55088"/>
        <c:crossesAt val="114"/>
        <c:crossBetween val="midCat"/>
        <c:majorUnit val="26.5"/>
      </c:valAx>
      <c:valAx>
        <c:axId val="1103555088"/>
        <c:scaling>
          <c:orientation val="minMax"/>
          <c:max val="203"/>
          <c:min val="11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103553912"/>
        <c:crossesAt val="-25"/>
        <c:crossBetween val="midCat"/>
        <c:majorUnit val="44.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chart" Target="../charts/chart18.xml"/><Relationship Id="rId7" Type="http://schemas.openxmlformats.org/officeDocument/2006/relationships/chart" Target="../charts/chart22.xml"/><Relationship Id="rId2" Type="http://schemas.openxmlformats.org/officeDocument/2006/relationships/chart" Target="../charts/chart17.xml"/><Relationship Id="rId1" Type="http://schemas.openxmlformats.org/officeDocument/2006/relationships/chart" Target="../charts/chart16.xml"/><Relationship Id="rId6" Type="http://schemas.openxmlformats.org/officeDocument/2006/relationships/chart" Target="../charts/chart21.xml"/><Relationship Id="rId5" Type="http://schemas.openxmlformats.org/officeDocument/2006/relationships/chart" Target="../charts/chart20.xml"/><Relationship Id="rId4" Type="http://schemas.openxmlformats.org/officeDocument/2006/relationships/chart" Target="../charts/chart19.xml"/></Relationships>
</file>

<file path=xl/drawings/_rels/drawing7.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chart" Target="../charts/chart23.xml"/><Relationship Id="rId6" Type="http://schemas.openxmlformats.org/officeDocument/2006/relationships/image" Target="../media/image10.emf"/><Relationship Id="rId5" Type="http://schemas.openxmlformats.org/officeDocument/2006/relationships/image" Target="../media/image9.emf"/><Relationship Id="rId4" Type="http://schemas.openxmlformats.org/officeDocument/2006/relationships/image" Target="../media/image8.emf"/></Relationships>
</file>

<file path=xl/drawings/_rels/drawing8.xml.rels><?xml version="1.0" encoding="UTF-8" standalone="yes"?>
<Relationships xmlns="http://schemas.openxmlformats.org/package/2006/relationships"><Relationship Id="rId3" Type="http://schemas.openxmlformats.org/officeDocument/2006/relationships/image" Target="../media/image12.gif"/><Relationship Id="rId2" Type="http://schemas.openxmlformats.org/officeDocument/2006/relationships/image" Target="../media/image11.gif"/><Relationship Id="rId1" Type="http://schemas.openxmlformats.org/officeDocument/2006/relationships/chart" Target="../charts/chart24.xml"/><Relationship Id="rId6" Type="http://schemas.openxmlformats.org/officeDocument/2006/relationships/image" Target="../media/image15.gif"/><Relationship Id="rId5" Type="http://schemas.openxmlformats.org/officeDocument/2006/relationships/image" Target="../media/image14.gif"/><Relationship Id="rId4" Type="http://schemas.openxmlformats.org/officeDocument/2006/relationships/image" Target="../media/image13.gif"/></Relationships>
</file>

<file path=xl/drawings/drawing1.xml><?xml version="1.0" encoding="utf-8"?>
<xdr:wsDr xmlns:xdr="http://schemas.openxmlformats.org/drawingml/2006/spreadsheetDrawing" xmlns:a="http://schemas.openxmlformats.org/drawingml/2006/main">
  <xdr:twoCellAnchor>
    <xdr:from>
      <xdr:col>0</xdr:col>
      <xdr:colOff>380999</xdr:colOff>
      <xdr:row>2</xdr:row>
      <xdr:rowOff>152396</xdr:rowOff>
    </xdr:from>
    <xdr:to>
      <xdr:col>14</xdr:col>
      <xdr:colOff>85724</xdr:colOff>
      <xdr:row>40</xdr:row>
      <xdr:rowOff>152400</xdr:rowOff>
    </xdr:to>
    <xdr:sp macro="" textlink="">
      <xdr:nvSpPr>
        <xdr:cNvPr id="2" name="TextBox 1"/>
        <xdr:cNvSpPr txBox="1"/>
      </xdr:nvSpPr>
      <xdr:spPr>
        <a:xfrm>
          <a:off x="380999" y="533396"/>
          <a:ext cx="8277225" cy="7239004"/>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RegressItPC</a:t>
          </a:r>
          <a:r>
            <a:rPr lang="en-US" sz="1100" baseline="0"/>
            <a:t> test file.</a:t>
          </a:r>
        </a:p>
        <a:p>
          <a:endParaRPr lang="en-US" sz="1100" baseline="0"/>
        </a:p>
        <a:p>
          <a:r>
            <a:rPr lang="en-US" sz="1100" baseline="0"/>
            <a:t>The analysis sheets in this file were produced on a PC and use most of the analysis options and output options and graph format options for purposes of testing on your computer.  If you re-run them on a PC you  should get identical-looking output.  If you re-run them on a Mac, there will be some minor differences in the formatting of tables and charts.</a:t>
          </a:r>
        </a:p>
        <a:p>
          <a:endParaRPr lang="en-US" sz="1100" baseline="0"/>
        </a:p>
        <a:p>
          <a:r>
            <a:rPr lang="en-US" sz="1100" baseline="0"/>
            <a:t>Instructions:</a:t>
          </a:r>
        </a:p>
        <a:p>
          <a:endParaRPr lang="en-US" sz="1100" baseline="0"/>
        </a:p>
        <a:p>
          <a:r>
            <a:rPr lang="en-US" sz="1100" baseline="0"/>
            <a:t>1. Visit each Stats sheet and re-run the analysis by hitting the Descriptive Statistics button followed by Run.  When the sheet is produced, all of the output will be hidden at first.  Toggle the "Show" buttons to selectively show or hide tables, charts, or all output.   (Stats 1 and Model 1.0 do not include any charts.)   The output is hidden at first on a stats sheet because there could be a huge amount of it if you run an analysis with many variables and many output options selected.</a:t>
          </a:r>
        </a:p>
        <a:p>
          <a:endParaRPr lang="en-US" sz="1100" baseline="0"/>
        </a:p>
        <a:p>
          <a:r>
            <a:rPr lang="en-US" sz="1100" baseline="0"/>
            <a:t>2.  Visit each Model sheet </a:t>
          </a:r>
          <a:r>
            <a:rPr lang="en-US" sz="1100" baseline="0">
              <a:solidFill>
                <a:schemeClr val="dk1"/>
              </a:solidFill>
              <a:effectLst/>
              <a:latin typeface="+mn-lt"/>
              <a:ea typeface="+mn-ea"/>
              <a:cs typeface="+mn-cs"/>
            </a:rPr>
            <a:t>and re-run the analysis by hitting the Linear Regression button followed by Run.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3.  After all the analyses have been re-run, use the buttons on the ribbon to navigate among models, to navigate among tables and charts on the visible worksheet, and to turn some of the display features on and off.</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Toggle the Colors and Fonts buttons to apply color and font coding to correlations and  coefficients.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Toggle the Notes button to turn flags for teaching notes on and off.  Move the mouse over a cell with a flag to display the note, or else select the cell and hit the View button on the ribbon.  On a Mac you should toggle the Show Charts button to temporarily hide charts while viewing the notes, because Excel cell notes are obscured by charts on a Mac.</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Toggle the Last Model button to jump back and forth to the last model (more interesting when a different model was most recently visited).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Toggle the History and Relatives and Summaries buttons for different views of the audit trail of models in the workbook.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Toggle the Conf+ and Conf- buttons to interactively vary the confidence level used for confidence intervals in tables and editable charts.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Use the Up and Down arrows to move up and down the worksheet by whole table and whole chart.  Hit the Top button to return to the top of the worksheet.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Hit the Compare button to set all model worksheets to the same viewpoint (i.e., same table or chart in the upper left) as the one you are currently viewing, so that you can flip back and forth to compare the same piece of output.   (For this to work properly, you must use the Up and Down buttons to set the viewpoint of the worksheet you are viewing.)</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Hit the Titles button to show or hide title rows above table or charts.  If you turn on the titles while hiding all tables and charts, you see an outline view of the entire contents of the worksheet.  It is recommended to include the titles when copying tables to reports, so that the model name and dependent variable name are included..</a:t>
          </a:r>
          <a:endParaRPr lang="en-US" sz="1100" baseline="0"/>
        </a:p>
        <a:p>
          <a:endParaRPr lang="en-US" sz="1100" baseline="0"/>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533399</xdr:colOff>
      <xdr:row>10</xdr:row>
      <xdr:rowOff>38100</xdr:rowOff>
    </xdr:from>
    <xdr:to>
      <xdr:col>10</xdr:col>
      <xdr:colOff>523874</xdr:colOff>
      <xdr:row>21</xdr:row>
      <xdr:rowOff>0</xdr:rowOff>
    </xdr:to>
    <xdr:sp macro="" textlink="">
      <xdr:nvSpPr>
        <xdr:cNvPr id="2" name="TextBox 1"/>
        <xdr:cNvSpPr txBox="1"/>
      </xdr:nvSpPr>
      <xdr:spPr>
        <a:xfrm>
          <a:off x="5600699" y="1562100"/>
          <a:ext cx="1933575" cy="16383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Stats 1:</a:t>
          </a:r>
        </a:p>
        <a:p>
          <a:endParaRPr lang="en-US">
            <a:effectLst/>
          </a:endParaRPr>
        </a:p>
        <a:p>
          <a:r>
            <a:rPr lang="en-US" sz="1100">
              <a:solidFill>
                <a:schemeClr val="dk1"/>
              </a:solidFill>
              <a:effectLst/>
              <a:latin typeface="+mn-lt"/>
              <a:ea typeface="+mn-ea"/>
              <a:cs typeface="+mn-cs"/>
            </a:rPr>
            <a:t>All text</a:t>
          </a:r>
          <a:r>
            <a:rPr lang="en-US" sz="1100" baseline="0">
              <a:solidFill>
                <a:schemeClr val="dk1"/>
              </a:solidFill>
              <a:effectLst/>
              <a:latin typeface="+mn-lt"/>
              <a:ea typeface="+mn-ea"/>
              <a:cs typeface="+mn-cs"/>
            </a:rPr>
            <a:t> output. including an autocorrelation table.</a:t>
          </a:r>
        </a:p>
        <a:p>
          <a:endParaRPr lang="en-US">
            <a:effectLst/>
          </a:endParaRPr>
        </a:p>
        <a:p>
          <a:r>
            <a:rPr lang="en-US" sz="1100" baseline="0">
              <a:solidFill>
                <a:schemeClr val="dk1"/>
              </a:solidFill>
              <a:effectLst/>
              <a:latin typeface="+mn-lt"/>
              <a:ea typeface="+mn-ea"/>
              <a:cs typeface="+mn-cs"/>
            </a:rPr>
            <a:t>Toggle the colors and fonts buttons to highlight signs and magnitudes of correlations.</a:t>
          </a:r>
          <a:endParaRPr lang="en-US">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13</xdr:col>
      <xdr:colOff>0</xdr:colOff>
      <xdr:row>17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17</xdr:row>
      <xdr:rowOff>0</xdr:rowOff>
    </xdr:from>
    <xdr:to>
      <xdr:col>13</xdr:col>
      <xdr:colOff>0</xdr:colOff>
      <xdr:row>27</xdr:row>
      <xdr:rowOff>0</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27</xdr:row>
      <xdr:rowOff>0</xdr:rowOff>
    </xdr:from>
    <xdr:to>
      <xdr:col>13</xdr:col>
      <xdr:colOff>0</xdr:colOff>
      <xdr:row>37</xdr:row>
      <xdr:rowOff>0</xdr:rowOff>
    </xdr:to>
    <xdr:graphicFrame macro="">
      <xdr:nvGraphicFramePr>
        <xdr:cNvPr id="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39</xdr:row>
      <xdr:rowOff>127000</xdr:rowOff>
    </xdr:from>
    <xdr:to>
      <xdr:col>6</xdr:col>
      <xdr:colOff>590550</xdr:colOff>
      <xdr:row>50</xdr:row>
      <xdr:rowOff>127000</xdr:rowOff>
    </xdr:to>
    <xdr:graphicFrame macro="">
      <xdr:nvGraphicFramePr>
        <xdr:cNvPr id="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590550</xdr:colOff>
      <xdr:row>39</xdr:row>
      <xdr:rowOff>127000</xdr:rowOff>
    </xdr:from>
    <xdr:to>
      <xdr:col>13</xdr:col>
      <xdr:colOff>0</xdr:colOff>
      <xdr:row>50</xdr:row>
      <xdr:rowOff>127000</xdr:rowOff>
    </xdr:to>
    <xdr:graphicFrame macro="">
      <xdr:nvGraphicFramePr>
        <xdr:cNvPr id="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50</xdr:row>
      <xdr:rowOff>127000</xdr:rowOff>
    </xdr:from>
    <xdr:to>
      <xdr:col>6</xdr:col>
      <xdr:colOff>590550</xdr:colOff>
      <xdr:row>61</xdr:row>
      <xdr:rowOff>127000</xdr:rowOff>
    </xdr:to>
    <xdr:graphicFrame macro="">
      <xdr:nvGraphicFramePr>
        <xdr:cNvPr id="7"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70</xdr:row>
      <xdr:rowOff>12700</xdr:rowOff>
    </xdr:from>
    <xdr:to>
      <xdr:col>4</xdr:col>
      <xdr:colOff>609600</xdr:colOff>
      <xdr:row>86</xdr:row>
      <xdr:rowOff>12700</xdr:rowOff>
    </xdr:to>
    <xdr:graphicFrame macro="">
      <xdr:nvGraphicFramePr>
        <xdr:cNvPr id="8"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609600</xdr:colOff>
      <xdr:row>70</xdr:row>
      <xdr:rowOff>12700</xdr:rowOff>
    </xdr:from>
    <xdr:to>
      <xdr:col>8</xdr:col>
      <xdr:colOff>571500</xdr:colOff>
      <xdr:row>86</xdr:row>
      <xdr:rowOff>12700</xdr:rowOff>
    </xdr:to>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571500</xdr:colOff>
      <xdr:row>70</xdr:row>
      <xdr:rowOff>12700</xdr:rowOff>
    </xdr:from>
    <xdr:to>
      <xdr:col>13</xdr:col>
      <xdr:colOff>0</xdr:colOff>
      <xdr:row>86</xdr:row>
      <xdr:rowOff>12700</xdr:rowOff>
    </xdr:to>
    <xdr:graphicFrame macro="">
      <xdr:nvGraphicFramePr>
        <xdr:cNvPr id="10"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86</xdr:row>
      <xdr:rowOff>12700</xdr:rowOff>
    </xdr:from>
    <xdr:to>
      <xdr:col>4</xdr:col>
      <xdr:colOff>609600</xdr:colOff>
      <xdr:row>102</xdr:row>
      <xdr:rowOff>12700</xdr:rowOff>
    </xdr:to>
    <xdr:graphicFrame macro="">
      <xdr:nvGraphicFramePr>
        <xdr:cNvPr id="11"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609600</xdr:colOff>
      <xdr:row>86</xdr:row>
      <xdr:rowOff>12700</xdr:rowOff>
    </xdr:from>
    <xdr:to>
      <xdr:col>8</xdr:col>
      <xdr:colOff>571500</xdr:colOff>
      <xdr:row>102</xdr:row>
      <xdr:rowOff>12700</xdr:rowOff>
    </xdr:to>
    <xdr:graphicFrame macro="">
      <xdr:nvGraphicFramePr>
        <xdr:cNvPr id="1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571500</xdr:colOff>
      <xdr:row>86</xdr:row>
      <xdr:rowOff>12700</xdr:rowOff>
    </xdr:from>
    <xdr:to>
      <xdr:col>13</xdr:col>
      <xdr:colOff>0</xdr:colOff>
      <xdr:row>102</xdr:row>
      <xdr:rowOff>12700</xdr:rowOff>
    </xdr:to>
    <xdr:graphicFrame macro="">
      <xdr:nvGraphicFramePr>
        <xdr:cNvPr id="1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102</xdr:row>
      <xdr:rowOff>12700</xdr:rowOff>
    </xdr:from>
    <xdr:to>
      <xdr:col>4</xdr:col>
      <xdr:colOff>609600</xdr:colOff>
      <xdr:row>118</xdr:row>
      <xdr:rowOff>12700</xdr:rowOff>
    </xdr:to>
    <xdr:graphicFrame macro="">
      <xdr:nvGraphicFramePr>
        <xdr:cNvPr id="1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609600</xdr:colOff>
      <xdr:row>102</xdr:row>
      <xdr:rowOff>12700</xdr:rowOff>
    </xdr:from>
    <xdr:to>
      <xdr:col>8</xdr:col>
      <xdr:colOff>571500</xdr:colOff>
      <xdr:row>118</xdr:row>
      <xdr:rowOff>12700</xdr:rowOff>
    </xdr:to>
    <xdr:graphicFrame macro="">
      <xdr:nvGraphicFramePr>
        <xdr:cNvPr id="1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571500</xdr:colOff>
      <xdr:row>102</xdr:row>
      <xdr:rowOff>12700</xdr:rowOff>
    </xdr:from>
    <xdr:to>
      <xdr:col>13</xdr:col>
      <xdr:colOff>0</xdr:colOff>
      <xdr:row>118</xdr:row>
      <xdr:rowOff>12700</xdr:rowOff>
    </xdr:to>
    <xdr:graphicFrame macro="">
      <xdr:nvGraphicFramePr>
        <xdr:cNvPr id="1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xdr:col>
      <xdr:colOff>190499</xdr:colOff>
      <xdr:row>0</xdr:row>
      <xdr:rowOff>0</xdr:rowOff>
    </xdr:from>
    <xdr:to>
      <xdr:col>15</xdr:col>
      <xdr:colOff>495300</xdr:colOff>
      <xdr:row>6</xdr:row>
      <xdr:rowOff>133350</xdr:rowOff>
    </xdr:to>
    <xdr:sp macro="" textlink="">
      <xdr:nvSpPr>
        <xdr:cNvPr id="17" name="TextBox 16"/>
        <xdr:cNvSpPr txBox="1"/>
      </xdr:nvSpPr>
      <xdr:spPr>
        <a:xfrm>
          <a:off x="6553199" y="0"/>
          <a:ext cx="4000501" cy="10477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Stats 2:</a:t>
          </a:r>
        </a:p>
        <a:p>
          <a:endParaRPr lang="en-US" sz="1100"/>
        </a:p>
        <a:p>
          <a:r>
            <a:rPr lang="en-US" sz="1100"/>
            <a:t>Series</a:t>
          </a:r>
          <a:r>
            <a:rPr lang="en-US" sz="1100" baseline="0"/>
            <a:t> plots with points, lines, and trend lines.  Histogram plots with 10 bins.  Full scatterplot matrix with regression lines, center of mass point, and r-squared in the title.  Editable charts.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xdr:row>
      <xdr:rowOff>0</xdr:rowOff>
    </xdr:from>
    <xdr:to>
      <xdr:col>13</xdr:col>
      <xdr:colOff>0</xdr:colOff>
      <xdr:row>17</xdr:row>
      <xdr:rowOff>0</xdr:rowOff>
    </xdr:to>
    <xdr:pic>
      <xdr:nvPicPr>
        <xdr:cNvPr id="1945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1100" y="1066800"/>
          <a:ext cx="7658100" cy="152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17</xdr:row>
      <xdr:rowOff>0</xdr:rowOff>
    </xdr:from>
    <xdr:to>
      <xdr:col>13</xdr:col>
      <xdr:colOff>0</xdr:colOff>
      <xdr:row>27</xdr:row>
      <xdr:rowOff>0</xdr:rowOff>
    </xdr:to>
    <xdr:pic>
      <xdr:nvPicPr>
        <xdr:cNvPr id="19458"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81100" y="2590800"/>
          <a:ext cx="7658100" cy="152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27</xdr:row>
      <xdr:rowOff>0</xdr:rowOff>
    </xdr:from>
    <xdr:to>
      <xdr:col>13</xdr:col>
      <xdr:colOff>0</xdr:colOff>
      <xdr:row>37</xdr:row>
      <xdr:rowOff>0</xdr:rowOff>
    </xdr:to>
    <xdr:pic>
      <xdr:nvPicPr>
        <xdr:cNvPr id="19459" name="Picture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81100" y="4114800"/>
          <a:ext cx="7658100" cy="152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45</xdr:row>
      <xdr:rowOff>12700</xdr:rowOff>
    </xdr:from>
    <xdr:to>
      <xdr:col>4</xdr:col>
      <xdr:colOff>609600</xdr:colOff>
      <xdr:row>61</xdr:row>
      <xdr:rowOff>12700</xdr:rowOff>
    </xdr:to>
    <xdr:pic>
      <xdr:nvPicPr>
        <xdr:cNvPr id="19460" name="Picture 4"/>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81100" y="6870700"/>
          <a:ext cx="2552700" cy="243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609600</xdr:colOff>
      <xdr:row>45</xdr:row>
      <xdr:rowOff>12700</xdr:rowOff>
    </xdr:from>
    <xdr:to>
      <xdr:col>8</xdr:col>
      <xdr:colOff>571500</xdr:colOff>
      <xdr:row>61</xdr:row>
      <xdr:rowOff>12700</xdr:rowOff>
    </xdr:to>
    <xdr:pic>
      <xdr:nvPicPr>
        <xdr:cNvPr id="19461" name="Picture 5"/>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33800" y="6870700"/>
          <a:ext cx="2552700" cy="243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0</xdr:colOff>
      <xdr:row>0</xdr:row>
      <xdr:rowOff>0</xdr:rowOff>
    </xdr:from>
    <xdr:to>
      <xdr:col>16</xdr:col>
      <xdr:colOff>85725</xdr:colOff>
      <xdr:row>6</xdr:row>
      <xdr:rowOff>142874</xdr:rowOff>
    </xdr:to>
    <xdr:sp macro="" textlink="">
      <xdr:nvSpPr>
        <xdr:cNvPr id="7" name="TextBox 6"/>
        <xdr:cNvSpPr txBox="1"/>
      </xdr:nvSpPr>
      <xdr:spPr>
        <a:xfrm>
          <a:off x="7010400" y="0"/>
          <a:ext cx="3743325" cy="1057274"/>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Stats 3:</a:t>
          </a:r>
        </a:p>
        <a:p>
          <a:endParaRPr lang="en-US" sz="1100"/>
        </a:p>
        <a:p>
          <a:r>
            <a:rPr lang="en-US" sz="1100"/>
            <a:t>Series</a:t>
          </a:r>
          <a:r>
            <a:rPr lang="en-US" sz="1100" baseline="0"/>
            <a:t> plots with bars, scatterplots versus the first variable only, with regression lines and slope coefficients in their titles.  HIgh-resolution fixed format charts.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57151</xdr:colOff>
      <xdr:row>0</xdr:row>
      <xdr:rowOff>0</xdr:rowOff>
    </xdr:from>
    <xdr:to>
      <xdr:col>15</xdr:col>
      <xdr:colOff>190500</xdr:colOff>
      <xdr:row>17</xdr:row>
      <xdr:rowOff>114299</xdr:rowOff>
    </xdr:to>
    <xdr:sp macro="" textlink="">
      <xdr:nvSpPr>
        <xdr:cNvPr id="2" name="TextBox 1"/>
        <xdr:cNvSpPr txBox="1"/>
      </xdr:nvSpPr>
      <xdr:spPr>
        <a:xfrm>
          <a:off x="6819901" y="0"/>
          <a:ext cx="3895724" cy="2276474"/>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Model 1.0</a:t>
          </a:r>
        </a:p>
        <a:p>
          <a:endParaRPr lang="en-US" sz="1100"/>
        </a:p>
        <a:p>
          <a:r>
            <a:rPr lang="en-US" sz="1100"/>
            <a:t>4-variable</a:t>
          </a:r>
          <a:r>
            <a:rPr lang="en-US" sz="1100" baseline="0"/>
            <a:t> multiple regression model with table output only, including residual autocorrelations, correlation matrix of coefficient estimates, and residual table.</a:t>
          </a:r>
        </a:p>
        <a:p>
          <a:endParaRPr lang="en-US" sz="1100" baseline="0"/>
        </a:p>
        <a:p>
          <a:r>
            <a:rPr lang="en-US" sz="1100" baseline="0"/>
            <a:t>Toggle the Colors and Fonts buttons to highlight the signs and magnitudes of key numbers.</a:t>
          </a:r>
        </a:p>
        <a:p>
          <a:endParaRPr lang="en-US" sz="1100" baseline="0"/>
        </a:p>
        <a:p>
          <a:r>
            <a:rPr lang="en-US" sz="1100" baseline="0"/>
            <a:t>When this model is re-run, the default name of the new model will be Model 1.1, and similarly for the other models, so that you can keep track of the parent of a given model.</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127000</xdr:colOff>
      <xdr:row>23</xdr:row>
      <xdr:rowOff>127000</xdr:rowOff>
    </xdr:from>
    <xdr:to>
      <xdr:col>6</xdr:col>
      <xdr:colOff>688975</xdr:colOff>
      <xdr:row>41</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127000</xdr:colOff>
      <xdr:row>56</xdr:row>
      <xdr:rowOff>127000</xdr:rowOff>
    </xdr:from>
    <xdr:to>
      <xdr:col>6</xdr:col>
      <xdr:colOff>688975</xdr:colOff>
      <xdr:row>74</xdr:row>
      <xdr:rowOff>127000</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127000</xdr:colOff>
      <xdr:row>80</xdr:row>
      <xdr:rowOff>127000</xdr:rowOff>
    </xdr:from>
    <xdr:to>
      <xdr:col>6</xdr:col>
      <xdr:colOff>688975</xdr:colOff>
      <xdr:row>98</xdr:row>
      <xdr:rowOff>127000</xdr:rowOff>
    </xdr:to>
    <xdr:graphicFrame macro="">
      <xdr:nvGraphicFramePr>
        <xdr:cNvPr id="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127000</xdr:colOff>
      <xdr:row>102</xdr:row>
      <xdr:rowOff>127000</xdr:rowOff>
    </xdr:from>
    <xdr:to>
      <xdr:col>6</xdr:col>
      <xdr:colOff>688975</xdr:colOff>
      <xdr:row>120</xdr:row>
      <xdr:rowOff>127000</xdr:rowOff>
    </xdr:to>
    <xdr:graphicFrame macro="">
      <xdr:nvGraphicFramePr>
        <xdr:cNvPr id="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127000</xdr:colOff>
      <xdr:row>124</xdr:row>
      <xdr:rowOff>127000</xdr:rowOff>
    </xdr:from>
    <xdr:to>
      <xdr:col>6</xdr:col>
      <xdr:colOff>688975</xdr:colOff>
      <xdr:row>142</xdr:row>
      <xdr:rowOff>127000</xdr:rowOff>
    </xdr:to>
    <xdr:graphicFrame macro="">
      <xdr:nvGraphicFramePr>
        <xdr:cNvPr id="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127000</xdr:colOff>
      <xdr:row>146</xdr:row>
      <xdr:rowOff>127000</xdr:rowOff>
    </xdr:from>
    <xdr:to>
      <xdr:col>6</xdr:col>
      <xdr:colOff>688975</xdr:colOff>
      <xdr:row>164</xdr:row>
      <xdr:rowOff>127000</xdr:rowOff>
    </xdr:to>
    <xdr:graphicFrame macro="">
      <xdr:nvGraphicFramePr>
        <xdr:cNvPr id="7"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127000</xdr:colOff>
      <xdr:row>168</xdr:row>
      <xdr:rowOff>127000</xdr:rowOff>
    </xdr:from>
    <xdr:to>
      <xdr:col>6</xdr:col>
      <xdr:colOff>688975</xdr:colOff>
      <xdr:row>186</xdr:row>
      <xdr:rowOff>127000</xdr:rowOff>
    </xdr:to>
    <xdr:graphicFrame macro="">
      <xdr:nvGraphicFramePr>
        <xdr:cNvPr id="8"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295276</xdr:colOff>
      <xdr:row>0</xdr:row>
      <xdr:rowOff>95250</xdr:rowOff>
    </xdr:from>
    <xdr:to>
      <xdr:col>14</xdr:col>
      <xdr:colOff>333375</xdr:colOff>
      <xdr:row>31</xdr:row>
      <xdr:rowOff>85725</xdr:rowOff>
    </xdr:to>
    <xdr:sp macro="" textlink="">
      <xdr:nvSpPr>
        <xdr:cNvPr id="9" name="TextBox 8"/>
        <xdr:cNvSpPr txBox="1"/>
      </xdr:nvSpPr>
      <xdr:spPr>
        <a:xfrm>
          <a:off x="7058026" y="95250"/>
          <a:ext cx="3190874" cy="27241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Model 2.0</a:t>
          </a:r>
        </a:p>
        <a:p>
          <a:endParaRPr lang="en-US" sz="1100"/>
        </a:p>
        <a:p>
          <a:r>
            <a:rPr lang="en-US" sz="1100"/>
            <a:t>Simple regression model with all chart output,</a:t>
          </a:r>
          <a:r>
            <a:rPr lang="en-US" sz="1100" baseline="0"/>
            <a:t> forecasts for missing values of dependent variable, editable charts.  </a:t>
          </a:r>
        </a:p>
        <a:p>
          <a:endParaRPr lang="en-US" sz="1100" baseline="0"/>
        </a:p>
        <a:p>
          <a:r>
            <a:rPr lang="en-US" sz="1100" baseline="0"/>
            <a:t>Hit the Conf+ and Conf- buttons on the ribbon and watch what happens to the confidence limits in the line fit plot and forecast plot.  If RegressIt is not running, the confidence level can be varied by typing a new value in its cell in the upper right.</a:t>
          </a:r>
        </a:p>
        <a:p>
          <a:endParaRPr lang="en-US" sz="1100" baseline="0"/>
        </a:p>
        <a:p>
          <a:r>
            <a:rPr lang="en-US" sz="1100" baseline="0"/>
            <a:t>Toggle the Notes button to toggle the flags for teaching notes on and off.</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127000</xdr:colOff>
      <xdr:row>36</xdr:row>
      <xdr:rowOff>127000</xdr:rowOff>
    </xdr:from>
    <xdr:to>
      <xdr:col>6</xdr:col>
      <xdr:colOff>688975</xdr:colOff>
      <xdr:row>54</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127000</xdr:colOff>
      <xdr:row>60</xdr:row>
      <xdr:rowOff>127000</xdr:rowOff>
    </xdr:from>
    <xdr:to>
      <xdr:col>6</xdr:col>
      <xdr:colOff>688975</xdr:colOff>
      <xdr:row>78</xdr:row>
      <xdr:rowOff>127000</xdr:rowOff>
    </xdr:to>
    <xdr:pic>
      <xdr:nvPicPr>
        <xdr:cNvPr id="15393" name="Picture 3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7000" y="8747125"/>
          <a:ext cx="5181600" cy="257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127000</xdr:colOff>
      <xdr:row>82</xdr:row>
      <xdr:rowOff>127000</xdr:rowOff>
    </xdr:from>
    <xdr:to>
      <xdr:col>6</xdr:col>
      <xdr:colOff>688975</xdr:colOff>
      <xdr:row>100</xdr:row>
      <xdr:rowOff>136525</xdr:rowOff>
    </xdr:to>
    <xdr:pic>
      <xdr:nvPicPr>
        <xdr:cNvPr id="15396" name="Picture 3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7000" y="11890375"/>
          <a:ext cx="5181600" cy="2581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127000</xdr:colOff>
      <xdr:row>104</xdr:row>
      <xdr:rowOff>127000</xdr:rowOff>
    </xdr:from>
    <xdr:to>
      <xdr:col>6</xdr:col>
      <xdr:colOff>688975</xdr:colOff>
      <xdr:row>122</xdr:row>
      <xdr:rowOff>127000</xdr:rowOff>
    </xdr:to>
    <xdr:pic>
      <xdr:nvPicPr>
        <xdr:cNvPr id="15399" name="Picture 39"/>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7000" y="15033625"/>
          <a:ext cx="5181600" cy="257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127000</xdr:colOff>
      <xdr:row>126</xdr:row>
      <xdr:rowOff>127002</xdr:rowOff>
    </xdr:from>
    <xdr:to>
      <xdr:col>6</xdr:col>
      <xdr:colOff>688975</xdr:colOff>
      <xdr:row>144</xdr:row>
      <xdr:rowOff>136527</xdr:rowOff>
    </xdr:to>
    <xdr:pic>
      <xdr:nvPicPr>
        <xdr:cNvPr id="15402" name="Picture 4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27000" y="18176877"/>
          <a:ext cx="5181600" cy="2581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127000</xdr:colOff>
      <xdr:row>148</xdr:row>
      <xdr:rowOff>126998</xdr:rowOff>
    </xdr:from>
    <xdr:to>
      <xdr:col>6</xdr:col>
      <xdr:colOff>688975</xdr:colOff>
      <xdr:row>166</xdr:row>
      <xdr:rowOff>126998</xdr:rowOff>
    </xdr:to>
    <xdr:pic>
      <xdr:nvPicPr>
        <xdr:cNvPr id="15405" name="Picture 45"/>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27000" y="21320123"/>
          <a:ext cx="5181600" cy="257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666751</xdr:colOff>
      <xdr:row>1</xdr:row>
      <xdr:rowOff>76199</xdr:rowOff>
    </xdr:from>
    <xdr:to>
      <xdr:col>14</xdr:col>
      <xdr:colOff>28576</xdr:colOff>
      <xdr:row>25</xdr:row>
      <xdr:rowOff>28574</xdr:rowOff>
    </xdr:to>
    <xdr:sp macro="" textlink="">
      <xdr:nvSpPr>
        <xdr:cNvPr id="8" name="TextBox 7"/>
        <xdr:cNvSpPr txBox="1"/>
      </xdr:nvSpPr>
      <xdr:spPr>
        <a:xfrm>
          <a:off x="7429501" y="219074"/>
          <a:ext cx="2514600" cy="168592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Model 3.0</a:t>
          </a:r>
        </a:p>
        <a:p>
          <a:endParaRPr lang="en-US" sz="1100"/>
        </a:p>
        <a:p>
          <a:r>
            <a:rPr lang="en-US" sz="1100"/>
            <a:t>3-variable multiple regression model with all chart output,</a:t>
          </a:r>
          <a:r>
            <a:rPr lang="en-US" sz="1100" baseline="0"/>
            <a:t> forecasts for missing values of dependent variable, low-resolution charts, standardized coefficients displayed on the Model Summaries worksheet.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127000</xdr:colOff>
      <xdr:row>38</xdr:row>
      <xdr:rowOff>127000</xdr:rowOff>
    </xdr:from>
    <xdr:to>
      <xdr:col>6</xdr:col>
      <xdr:colOff>688975</xdr:colOff>
      <xdr:row>56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127000</xdr:colOff>
      <xdr:row>62</xdr:row>
      <xdr:rowOff>127000</xdr:rowOff>
    </xdr:from>
    <xdr:to>
      <xdr:col>6</xdr:col>
      <xdr:colOff>698500</xdr:colOff>
      <xdr:row>80</xdr:row>
      <xdr:rowOff>136525</xdr:rowOff>
    </xdr:to>
    <xdr:pic>
      <xdr:nvPicPr>
        <xdr:cNvPr id="4" name="Picture 3"/>
        <xdr:cNvPicPr>
          <a:picLocks noChangeAspect="1"/>
        </xdr:cNvPicPr>
      </xdr:nvPicPr>
      <xdr:blipFill>
        <a:blip xmlns:r="http://schemas.openxmlformats.org/officeDocument/2006/relationships" r:embed="rId2"/>
        <a:stretch>
          <a:fillRect/>
        </a:stretch>
      </xdr:blipFill>
      <xdr:spPr>
        <a:xfrm>
          <a:off x="127000" y="9032875"/>
          <a:ext cx="5191125" cy="2581275"/>
        </a:xfrm>
        <a:prstGeom prst="rect">
          <a:avLst/>
        </a:prstGeom>
      </xdr:spPr>
    </xdr:pic>
    <xdr:clientData/>
  </xdr:twoCellAnchor>
  <xdr:twoCellAnchor>
    <xdr:from>
      <xdr:col>0</xdr:col>
      <xdr:colOff>127000</xdr:colOff>
      <xdr:row>84</xdr:row>
      <xdr:rowOff>127000</xdr:rowOff>
    </xdr:from>
    <xdr:to>
      <xdr:col>6</xdr:col>
      <xdr:colOff>698500</xdr:colOff>
      <xdr:row>102</xdr:row>
      <xdr:rowOff>136525</xdr:rowOff>
    </xdr:to>
    <xdr:pic>
      <xdr:nvPicPr>
        <xdr:cNvPr id="6" name="Picture 5"/>
        <xdr:cNvPicPr>
          <a:picLocks noChangeAspect="1"/>
        </xdr:cNvPicPr>
      </xdr:nvPicPr>
      <xdr:blipFill>
        <a:blip xmlns:r="http://schemas.openxmlformats.org/officeDocument/2006/relationships" r:embed="rId3"/>
        <a:stretch>
          <a:fillRect/>
        </a:stretch>
      </xdr:blipFill>
      <xdr:spPr>
        <a:xfrm>
          <a:off x="127000" y="12176125"/>
          <a:ext cx="5191125" cy="2581275"/>
        </a:xfrm>
        <a:prstGeom prst="rect">
          <a:avLst/>
        </a:prstGeom>
      </xdr:spPr>
    </xdr:pic>
    <xdr:clientData/>
  </xdr:twoCellAnchor>
  <xdr:twoCellAnchor>
    <xdr:from>
      <xdr:col>0</xdr:col>
      <xdr:colOff>127000</xdr:colOff>
      <xdr:row>106</xdr:row>
      <xdr:rowOff>127000</xdr:rowOff>
    </xdr:from>
    <xdr:to>
      <xdr:col>6</xdr:col>
      <xdr:colOff>698500</xdr:colOff>
      <xdr:row>124</xdr:row>
      <xdr:rowOff>136525</xdr:rowOff>
    </xdr:to>
    <xdr:pic>
      <xdr:nvPicPr>
        <xdr:cNvPr id="8" name="Picture 7"/>
        <xdr:cNvPicPr>
          <a:picLocks noChangeAspect="1"/>
        </xdr:cNvPicPr>
      </xdr:nvPicPr>
      <xdr:blipFill>
        <a:blip xmlns:r="http://schemas.openxmlformats.org/officeDocument/2006/relationships" r:embed="rId4"/>
        <a:stretch>
          <a:fillRect/>
        </a:stretch>
      </xdr:blipFill>
      <xdr:spPr>
        <a:xfrm>
          <a:off x="127000" y="15319375"/>
          <a:ext cx="5191125" cy="2581275"/>
        </a:xfrm>
        <a:prstGeom prst="rect">
          <a:avLst/>
        </a:prstGeom>
      </xdr:spPr>
    </xdr:pic>
    <xdr:clientData/>
  </xdr:twoCellAnchor>
  <xdr:twoCellAnchor>
    <xdr:from>
      <xdr:col>0</xdr:col>
      <xdr:colOff>127000</xdr:colOff>
      <xdr:row>128</xdr:row>
      <xdr:rowOff>126998</xdr:rowOff>
    </xdr:from>
    <xdr:to>
      <xdr:col>6</xdr:col>
      <xdr:colOff>698500</xdr:colOff>
      <xdr:row>146</xdr:row>
      <xdr:rowOff>136523</xdr:rowOff>
    </xdr:to>
    <xdr:pic>
      <xdr:nvPicPr>
        <xdr:cNvPr id="10" name="Picture 9"/>
        <xdr:cNvPicPr>
          <a:picLocks noChangeAspect="1"/>
        </xdr:cNvPicPr>
      </xdr:nvPicPr>
      <xdr:blipFill>
        <a:blip xmlns:r="http://schemas.openxmlformats.org/officeDocument/2006/relationships" r:embed="rId5"/>
        <a:stretch>
          <a:fillRect/>
        </a:stretch>
      </xdr:blipFill>
      <xdr:spPr>
        <a:xfrm>
          <a:off x="127000" y="18462623"/>
          <a:ext cx="5191125" cy="2581275"/>
        </a:xfrm>
        <a:prstGeom prst="rect">
          <a:avLst/>
        </a:prstGeom>
      </xdr:spPr>
    </xdr:pic>
    <xdr:clientData/>
  </xdr:twoCellAnchor>
  <xdr:twoCellAnchor>
    <xdr:from>
      <xdr:col>0</xdr:col>
      <xdr:colOff>127000</xdr:colOff>
      <xdr:row>150</xdr:row>
      <xdr:rowOff>127002</xdr:rowOff>
    </xdr:from>
    <xdr:to>
      <xdr:col>6</xdr:col>
      <xdr:colOff>698500</xdr:colOff>
      <xdr:row>168</xdr:row>
      <xdr:rowOff>136527</xdr:rowOff>
    </xdr:to>
    <xdr:pic>
      <xdr:nvPicPr>
        <xdr:cNvPr id="12" name="Picture 11"/>
        <xdr:cNvPicPr>
          <a:picLocks noChangeAspect="1"/>
        </xdr:cNvPicPr>
      </xdr:nvPicPr>
      <xdr:blipFill>
        <a:blip xmlns:r="http://schemas.openxmlformats.org/officeDocument/2006/relationships" r:embed="rId6"/>
        <a:stretch>
          <a:fillRect/>
        </a:stretch>
      </xdr:blipFill>
      <xdr:spPr>
        <a:xfrm>
          <a:off x="127000" y="21605877"/>
          <a:ext cx="5191125" cy="2581275"/>
        </a:xfrm>
        <a:prstGeom prst="rect">
          <a:avLst/>
        </a:prstGeom>
      </xdr:spPr>
    </xdr:pic>
    <xdr:clientData/>
  </xdr:twoCellAnchor>
  <xdr:twoCellAnchor>
    <xdr:from>
      <xdr:col>9</xdr:col>
      <xdr:colOff>561975</xdr:colOff>
      <xdr:row>1</xdr:row>
      <xdr:rowOff>104775</xdr:rowOff>
    </xdr:from>
    <xdr:to>
      <xdr:col>13</xdr:col>
      <xdr:colOff>533400</xdr:colOff>
      <xdr:row>19</xdr:row>
      <xdr:rowOff>57150</xdr:rowOff>
    </xdr:to>
    <xdr:sp macro="" textlink="">
      <xdr:nvSpPr>
        <xdr:cNvPr id="9" name="TextBox 8"/>
        <xdr:cNvSpPr txBox="1"/>
      </xdr:nvSpPr>
      <xdr:spPr>
        <a:xfrm>
          <a:off x="7324725" y="247650"/>
          <a:ext cx="2514600" cy="168592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Model 4.0</a:t>
          </a:r>
        </a:p>
        <a:p>
          <a:endParaRPr lang="en-US" sz="1100"/>
        </a:p>
        <a:p>
          <a:r>
            <a:rPr lang="en-US" sz="1100"/>
            <a:t>3-variable multiple regression model with</a:t>
          </a:r>
          <a:r>
            <a:rPr lang="en-US" sz="1100" baseline="0"/>
            <a:t> no constant, </a:t>
          </a:r>
          <a:r>
            <a:rPr lang="en-US" sz="1100"/>
            <a:t>all chart output,</a:t>
          </a:r>
          <a:r>
            <a:rPr lang="en-US" sz="1100" baseline="0"/>
            <a:t> forecasts for missing values of dependent variable, editable charts, numeric coefficients displayed on the Model Summaries worksheet.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276225</xdr:colOff>
      <xdr:row>1</xdr:row>
      <xdr:rowOff>57150</xdr:rowOff>
    </xdr:from>
    <xdr:to>
      <xdr:col>9</xdr:col>
      <xdr:colOff>304800</xdr:colOff>
      <xdr:row>13</xdr:row>
      <xdr:rowOff>19050</xdr:rowOff>
    </xdr:to>
    <xdr:sp macro="" textlink="">
      <xdr:nvSpPr>
        <xdr:cNvPr id="2" name="TextBox 1"/>
        <xdr:cNvSpPr txBox="1"/>
      </xdr:nvSpPr>
      <xdr:spPr>
        <a:xfrm>
          <a:off x="7591425" y="200025"/>
          <a:ext cx="2466975" cy="17145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Model Summaries</a:t>
          </a:r>
          <a:r>
            <a:rPr lang="en-US" sz="1100" baseline="0"/>
            <a:t> worksheet:</a:t>
          </a:r>
        </a:p>
        <a:p>
          <a:endParaRPr lang="en-US" sz="1100" baseline="0"/>
        </a:p>
        <a:p>
          <a:r>
            <a:rPr lang="en-US" sz="1100" baseline="0"/>
            <a:t>Toggle the Colors and Fonts buttons to highlight signs and magnitudes of key numbers.  See the cell notes for details of the computer(s) on which the models were run and complete information about the coefficient estimates.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251"/>
  <sheetViews>
    <sheetView tabSelected="1" workbookViewId="0"/>
  </sheetViews>
  <sheetFormatPr defaultRowHeight="15" x14ac:dyDescent="0.25"/>
  <cols>
    <col min="1" max="1" width="9.7109375" bestFit="1" customWidth="1"/>
  </cols>
  <sheetData>
    <row r="1" spans="1:7" x14ac:dyDescent="0.25">
      <c r="A1" t="s">
        <v>0</v>
      </c>
      <c r="B1" t="s">
        <v>1</v>
      </c>
      <c r="C1" t="s">
        <v>2</v>
      </c>
      <c r="D1" t="s">
        <v>3</v>
      </c>
      <c r="E1" t="s">
        <v>4</v>
      </c>
      <c r="F1" t="s">
        <v>5</v>
      </c>
      <c r="G1" t="s">
        <v>6</v>
      </c>
    </row>
    <row r="2" spans="1:7" x14ac:dyDescent="0.25">
      <c r="A2" s="1">
        <v>35431</v>
      </c>
      <c r="B2">
        <v>26</v>
      </c>
      <c r="C2">
        <v>8</v>
      </c>
      <c r="D2">
        <v>505</v>
      </c>
      <c r="E2">
        <v>34.5</v>
      </c>
      <c r="F2" s="2">
        <v>-7.6E-3</v>
      </c>
      <c r="G2" s="3">
        <v>158</v>
      </c>
    </row>
    <row r="3" spans="1:7" x14ac:dyDescent="0.25">
      <c r="A3" s="1">
        <v>35462</v>
      </c>
      <c r="B3">
        <v>43</v>
      </c>
      <c r="C3">
        <v>-6</v>
      </c>
      <c r="D3">
        <v>430</v>
      </c>
      <c r="E3">
        <v>50.8</v>
      </c>
      <c r="F3" s="2">
        <v>-4.58E-2</v>
      </c>
      <c r="G3" s="3">
        <v>165</v>
      </c>
    </row>
    <row r="4" spans="1:7" x14ac:dyDescent="0.25">
      <c r="A4" s="1">
        <v>35490</v>
      </c>
      <c r="B4">
        <v>27</v>
      </c>
      <c r="C4">
        <v>-12</v>
      </c>
      <c r="D4">
        <v>415</v>
      </c>
      <c r="E4">
        <v>32.9</v>
      </c>
      <c r="F4" s="2">
        <v>-1.7399999999999999E-2</v>
      </c>
      <c r="G4" s="3">
        <v>152</v>
      </c>
    </row>
    <row r="5" spans="1:7" x14ac:dyDescent="0.25">
      <c r="A5" s="1">
        <v>35521</v>
      </c>
      <c r="B5">
        <v>35</v>
      </c>
      <c r="C5">
        <v>9</v>
      </c>
      <c r="D5">
        <v>472</v>
      </c>
      <c r="E5">
        <v>44.7</v>
      </c>
      <c r="F5" s="2">
        <v>-0.03</v>
      </c>
      <c r="G5" s="3">
        <v>154</v>
      </c>
    </row>
    <row r="6" spans="1:7" x14ac:dyDescent="0.25">
      <c r="A6" s="1">
        <v>35551</v>
      </c>
      <c r="B6">
        <v>29</v>
      </c>
      <c r="C6">
        <v>3</v>
      </c>
      <c r="D6">
        <v>561</v>
      </c>
      <c r="E6">
        <v>28</v>
      </c>
      <c r="F6" s="2">
        <v>3.8600000000000002E-2</v>
      </c>
      <c r="G6" s="3">
        <v>153</v>
      </c>
    </row>
    <row r="7" spans="1:7" x14ac:dyDescent="0.25">
      <c r="A7" s="1">
        <v>35582</v>
      </c>
      <c r="B7">
        <v>25</v>
      </c>
      <c r="C7">
        <v>-4</v>
      </c>
      <c r="D7">
        <v>442</v>
      </c>
      <c r="E7">
        <v>30.9</v>
      </c>
      <c r="F7" s="2">
        <v>3.95E-2</v>
      </c>
      <c r="G7" s="3">
        <v>146</v>
      </c>
    </row>
    <row r="8" spans="1:7" x14ac:dyDescent="0.25">
      <c r="A8" s="1">
        <v>35612</v>
      </c>
      <c r="B8">
        <v>36</v>
      </c>
      <c r="C8">
        <v>0</v>
      </c>
      <c r="D8">
        <v>579</v>
      </c>
      <c r="E8">
        <v>41.7</v>
      </c>
      <c r="F8" s="2">
        <v>2.5000000000000001E-2</v>
      </c>
      <c r="G8" s="3">
        <v>164</v>
      </c>
    </row>
    <row r="9" spans="1:7" x14ac:dyDescent="0.25">
      <c r="A9" s="1">
        <v>35643</v>
      </c>
      <c r="B9">
        <v>43</v>
      </c>
      <c r="C9">
        <v>20</v>
      </c>
      <c r="D9">
        <v>427</v>
      </c>
      <c r="E9">
        <v>50.1</v>
      </c>
      <c r="F9" s="2">
        <v>3.0300000000000001E-2</v>
      </c>
      <c r="G9" s="3">
        <v>170</v>
      </c>
    </row>
    <row r="10" spans="1:7" x14ac:dyDescent="0.25">
      <c r="A10" s="1">
        <v>35674</v>
      </c>
      <c r="B10">
        <v>32</v>
      </c>
      <c r="C10">
        <v>-2</v>
      </c>
      <c r="D10">
        <v>863</v>
      </c>
      <c r="E10">
        <v>39.9</v>
      </c>
      <c r="F10" s="2">
        <v>-3.1300000000000001E-2</v>
      </c>
      <c r="G10" s="3">
        <v>186</v>
      </c>
    </row>
    <row r="11" spans="1:7" x14ac:dyDescent="0.25">
      <c r="A11" s="1">
        <v>35704</v>
      </c>
      <c r="B11">
        <v>42</v>
      </c>
      <c r="C11">
        <v>-12</v>
      </c>
      <c r="D11">
        <v>445</v>
      </c>
      <c r="E11">
        <v>53.9</v>
      </c>
      <c r="F11" s="2">
        <v>-4.41E-2</v>
      </c>
      <c r="G11" s="3">
        <v>167</v>
      </c>
    </row>
    <row r="12" spans="1:7" x14ac:dyDescent="0.25">
      <c r="A12" s="1">
        <v>35735</v>
      </c>
      <c r="B12">
        <v>47</v>
      </c>
      <c r="C12">
        <v>-11</v>
      </c>
      <c r="D12">
        <v>509</v>
      </c>
      <c r="E12">
        <v>58.1</v>
      </c>
      <c r="F12" s="2">
        <v>-2.87E-2</v>
      </c>
      <c r="G12" s="3">
        <v>174</v>
      </c>
    </row>
    <row r="13" spans="1:7" x14ac:dyDescent="0.25">
      <c r="A13" s="1">
        <v>35765</v>
      </c>
      <c r="B13">
        <v>27</v>
      </c>
      <c r="C13">
        <v>-21</v>
      </c>
      <c r="D13">
        <v>499</v>
      </c>
      <c r="E13">
        <v>33.799999999999997</v>
      </c>
      <c r="F13" s="2">
        <v>-1.6400000000000001E-2</v>
      </c>
      <c r="G13" s="3">
        <v>163</v>
      </c>
    </row>
    <row r="14" spans="1:7" x14ac:dyDescent="0.25">
      <c r="A14" s="1">
        <v>35796</v>
      </c>
      <c r="B14">
        <v>46</v>
      </c>
      <c r="C14">
        <v>-7</v>
      </c>
      <c r="D14">
        <v>451</v>
      </c>
      <c r="E14">
        <v>53.4</v>
      </c>
      <c r="F14" s="2">
        <v>-3.2399999999999998E-2</v>
      </c>
      <c r="G14" s="3">
        <v>174</v>
      </c>
    </row>
    <row r="15" spans="1:7" x14ac:dyDescent="0.25">
      <c r="A15" s="1">
        <v>35827</v>
      </c>
      <c r="B15">
        <v>44</v>
      </c>
      <c r="C15">
        <v>6</v>
      </c>
      <c r="D15">
        <v>469</v>
      </c>
      <c r="E15">
        <v>51.4</v>
      </c>
      <c r="F15" s="2">
        <v>-3.6999999999999998E-2</v>
      </c>
      <c r="G15" s="3">
        <v>183</v>
      </c>
    </row>
    <row r="16" spans="1:7" x14ac:dyDescent="0.25">
      <c r="A16" s="1">
        <v>35855</v>
      </c>
      <c r="B16">
        <v>50</v>
      </c>
      <c r="C16">
        <v>-8</v>
      </c>
      <c r="D16">
        <v>491</v>
      </c>
      <c r="E16">
        <v>57.6</v>
      </c>
      <c r="F16" s="2">
        <v>-8.5000000000000006E-2</v>
      </c>
      <c r="G16" s="3">
        <v>175</v>
      </c>
    </row>
    <row r="17" spans="1:7" x14ac:dyDescent="0.25">
      <c r="A17" s="1">
        <v>35886</v>
      </c>
      <c r="B17">
        <v>27</v>
      </c>
      <c r="C17">
        <v>11</v>
      </c>
      <c r="D17">
        <v>446</v>
      </c>
      <c r="E17">
        <v>27.8</v>
      </c>
      <c r="F17" s="2">
        <v>5.7000000000000002E-3</v>
      </c>
      <c r="G17" s="3">
        <v>161</v>
      </c>
    </row>
    <row r="18" spans="1:7" x14ac:dyDescent="0.25">
      <c r="A18" s="1">
        <v>35916</v>
      </c>
      <c r="B18">
        <v>35</v>
      </c>
      <c r="C18">
        <v>4</v>
      </c>
      <c r="D18">
        <v>538</v>
      </c>
      <c r="E18">
        <v>48.5</v>
      </c>
      <c r="F18" s="2">
        <v>-5.4399999999999997E-2</v>
      </c>
      <c r="G18" s="3">
        <v>156</v>
      </c>
    </row>
    <row r="19" spans="1:7" x14ac:dyDescent="0.25">
      <c r="A19" s="1">
        <v>35947</v>
      </c>
      <c r="B19">
        <v>34</v>
      </c>
      <c r="C19">
        <v>10</v>
      </c>
      <c r="D19">
        <v>432</v>
      </c>
      <c r="E19">
        <v>34.200000000000003</v>
      </c>
      <c r="F19" s="2">
        <v>1.2E-2</v>
      </c>
      <c r="G19" s="3">
        <v>161</v>
      </c>
    </row>
    <row r="20" spans="1:7" x14ac:dyDescent="0.25">
      <c r="A20" s="1">
        <v>35977</v>
      </c>
      <c r="B20">
        <v>43</v>
      </c>
      <c r="C20">
        <v>2</v>
      </c>
      <c r="D20">
        <v>425</v>
      </c>
      <c r="E20">
        <v>52.8</v>
      </c>
      <c r="F20" s="2">
        <v>-3.8800000000000001E-2</v>
      </c>
      <c r="G20" s="3">
        <v>166</v>
      </c>
    </row>
    <row r="21" spans="1:7" x14ac:dyDescent="0.25">
      <c r="A21" s="1">
        <v>36008</v>
      </c>
      <c r="B21">
        <v>16</v>
      </c>
      <c r="C21">
        <v>17</v>
      </c>
      <c r="D21">
        <v>517</v>
      </c>
      <c r="E21">
        <v>18.8</v>
      </c>
      <c r="F21" s="2">
        <v>-2.41E-2</v>
      </c>
      <c r="G21" s="3">
        <v>141</v>
      </c>
    </row>
    <row r="22" spans="1:7" x14ac:dyDescent="0.25">
      <c r="A22" s="1">
        <v>36039</v>
      </c>
      <c r="B22">
        <v>45</v>
      </c>
      <c r="C22">
        <v>23</v>
      </c>
      <c r="D22">
        <v>545</v>
      </c>
      <c r="E22">
        <v>45.8</v>
      </c>
      <c r="F22" s="2">
        <v>-8.8999999999999999E-3</v>
      </c>
      <c r="G22" s="3">
        <v>160</v>
      </c>
    </row>
    <row r="23" spans="1:7" x14ac:dyDescent="0.25">
      <c r="A23" s="1">
        <v>36069</v>
      </c>
      <c r="B23">
        <v>27</v>
      </c>
      <c r="C23">
        <v>0</v>
      </c>
      <c r="D23">
        <v>1026</v>
      </c>
      <c r="E23">
        <v>30.9</v>
      </c>
      <c r="F23" s="2">
        <v>5.6500000000000002E-2</v>
      </c>
      <c r="G23" s="3">
        <v>177</v>
      </c>
    </row>
    <row r="24" spans="1:7" x14ac:dyDescent="0.25">
      <c r="A24" s="1">
        <v>36100</v>
      </c>
      <c r="B24">
        <v>66</v>
      </c>
      <c r="C24">
        <v>16</v>
      </c>
      <c r="D24">
        <v>484</v>
      </c>
      <c r="E24">
        <v>68.599999999999994</v>
      </c>
      <c r="F24" s="2">
        <v>5.4000000000000003E-3</v>
      </c>
      <c r="G24" s="3">
        <v>190</v>
      </c>
    </row>
    <row r="25" spans="1:7" x14ac:dyDescent="0.25">
      <c r="A25" s="1">
        <v>36130</v>
      </c>
      <c r="B25">
        <v>23</v>
      </c>
      <c r="C25">
        <v>-5</v>
      </c>
      <c r="D25">
        <v>514</v>
      </c>
      <c r="E25">
        <v>26.6</v>
      </c>
      <c r="F25" s="2">
        <v>-1.6500000000000001E-2</v>
      </c>
      <c r="G25" s="3">
        <v>156</v>
      </c>
    </row>
    <row r="26" spans="1:7" x14ac:dyDescent="0.25">
      <c r="A26" s="1">
        <v>36161</v>
      </c>
      <c r="B26">
        <v>6</v>
      </c>
      <c r="C26">
        <v>7</v>
      </c>
      <c r="D26">
        <v>437</v>
      </c>
      <c r="E26">
        <v>17.8</v>
      </c>
      <c r="F26" s="2">
        <v>-2.8199999999999999E-2</v>
      </c>
      <c r="G26" s="3">
        <v>134</v>
      </c>
    </row>
    <row r="27" spans="1:7" x14ac:dyDescent="0.25">
      <c r="A27" s="1">
        <v>36192</v>
      </c>
      <c r="B27">
        <v>27</v>
      </c>
      <c r="C27">
        <v>-10</v>
      </c>
      <c r="D27">
        <v>509</v>
      </c>
      <c r="E27">
        <v>29.5</v>
      </c>
      <c r="F27" s="2">
        <v>-2.3900000000000001E-2</v>
      </c>
      <c r="G27" s="3">
        <v>146</v>
      </c>
    </row>
    <row r="28" spans="1:7" x14ac:dyDescent="0.25">
      <c r="A28" s="1">
        <v>36220</v>
      </c>
      <c r="B28">
        <v>36</v>
      </c>
      <c r="C28">
        <v>6</v>
      </c>
      <c r="D28">
        <v>569</v>
      </c>
      <c r="E28">
        <v>40.9</v>
      </c>
      <c r="F28" s="2">
        <v>4.6600000000000003E-2</v>
      </c>
      <c r="G28" s="3">
        <v>163</v>
      </c>
    </row>
    <row r="29" spans="1:7" x14ac:dyDescent="0.25">
      <c r="A29" s="1">
        <v>36251</v>
      </c>
      <c r="B29">
        <v>41</v>
      </c>
      <c r="C29">
        <v>-6</v>
      </c>
      <c r="D29">
        <v>391</v>
      </c>
      <c r="E29">
        <v>41.7</v>
      </c>
      <c r="F29" s="2">
        <v>2.8500000000000001E-2</v>
      </c>
      <c r="G29" s="3">
        <v>159</v>
      </c>
    </row>
    <row r="30" spans="1:7" x14ac:dyDescent="0.25">
      <c r="A30" s="1">
        <v>36281</v>
      </c>
      <c r="B30">
        <v>36</v>
      </c>
      <c r="C30">
        <v>-1</v>
      </c>
      <c r="D30">
        <v>498</v>
      </c>
      <c r="E30">
        <v>37</v>
      </c>
      <c r="F30" s="2">
        <v>2.5700000000000001E-2</v>
      </c>
      <c r="G30" s="3">
        <v>162</v>
      </c>
    </row>
    <row r="31" spans="1:7" x14ac:dyDescent="0.25">
      <c r="A31" s="1">
        <v>36312</v>
      </c>
      <c r="B31">
        <v>46</v>
      </c>
      <c r="C31">
        <v>-22</v>
      </c>
      <c r="D31">
        <v>502</v>
      </c>
      <c r="E31">
        <v>53.5</v>
      </c>
      <c r="F31" s="2">
        <v>4.1000000000000003E-3</v>
      </c>
      <c r="G31" s="3">
        <v>166</v>
      </c>
    </row>
    <row r="32" spans="1:7" x14ac:dyDescent="0.25">
      <c r="A32" s="1">
        <v>36342</v>
      </c>
      <c r="B32">
        <v>42</v>
      </c>
      <c r="C32">
        <v>2</v>
      </c>
      <c r="D32">
        <v>163</v>
      </c>
      <c r="E32">
        <v>51</v>
      </c>
      <c r="F32" s="2">
        <v>9.7000000000000003E-3</v>
      </c>
      <c r="G32" s="3">
        <v>137</v>
      </c>
    </row>
    <row r="33" spans="1:7" x14ac:dyDescent="0.25">
      <c r="A33" s="1">
        <v>36373</v>
      </c>
      <c r="B33">
        <v>45</v>
      </c>
      <c r="C33">
        <v>7</v>
      </c>
      <c r="D33">
        <v>536</v>
      </c>
      <c r="E33">
        <v>50.2</v>
      </c>
      <c r="F33" s="2">
        <v>3.8800000000000001E-2</v>
      </c>
      <c r="G33" s="3">
        <v>163</v>
      </c>
    </row>
    <row r="34" spans="1:7" x14ac:dyDescent="0.25">
      <c r="A34" s="1">
        <v>36404</v>
      </c>
      <c r="B34">
        <v>39</v>
      </c>
      <c r="C34">
        <v>-3</v>
      </c>
      <c r="D34">
        <v>522</v>
      </c>
      <c r="E34">
        <v>46.1</v>
      </c>
      <c r="F34" s="2">
        <v>9.1999999999999998E-3</v>
      </c>
      <c r="G34" s="3">
        <v>161</v>
      </c>
    </row>
    <row r="35" spans="1:7" x14ac:dyDescent="0.25">
      <c r="A35" s="1">
        <v>36434</v>
      </c>
      <c r="B35">
        <v>34</v>
      </c>
      <c r="C35">
        <v>6</v>
      </c>
      <c r="D35">
        <v>433</v>
      </c>
      <c r="E35">
        <v>40.700000000000003</v>
      </c>
      <c r="F35" s="2">
        <v>-2.3E-3</v>
      </c>
      <c r="G35" s="3">
        <v>158</v>
      </c>
    </row>
    <row r="36" spans="1:7" x14ac:dyDescent="0.25">
      <c r="A36" s="1">
        <v>36465</v>
      </c>
      <c r="B36">
        <v>45</v>
      </c>
      <c r="C36">
        <v>9</v>
      </c>
      <c r="D36">
        <v>587</v>
      </c>
      <c r="E36">
        <v>54.1</v>
      </c>
      <c r="F36" s="2">
        <v>-2.41E-2</v>
      </c>
      <c r="G36" s="3">
        <v>168</v>
      </c>
    </row>
    <row r="37" spans="1:7" x14ac:dyDescent="0.25">
      <c r="A37" s="1">
        <v>36495</v>
      </c>
      <c r="B37">
        <v>27</v>
      </c>
      <c r="C37">
        <v>2</v>
      </c>
      <c r="D37">
        <v>482</v>
      </c>
      <c r="E37">
        <v>26.6</v>
      </c>
      <c r="F37" s="2">
        <v>2.93E-2</v>
      </c>
      <c r="G37" s="3">
        <v>152</v>
      </c>
    </row>
    <row r="38" spans="1:7" x14ac:dyDescent="0.25">
      <c r="A38" s="1">
        <v>36526</v>
      </c>
      <c r="B38">
        <v>24</v>
      </c>
      <c r="C38">
        <v>-1</v>
      </c>
      <c r="D38">
        <v>533</v>
      </c>
      <c r="E38">
        <v>26.6</v>
      </c>
      <c r="F38" s="2">
        <v>1.0200000000000001E-2</v>
      </c>
      <c r="G38" s="3">
        <v>143</v>
      </c>
    </row>
    <row r="39" spans="1:7" x14ac:dyDescent="0.25">
      <c r="A39" s="1">
        <v>36557</v>
      </c>
      <c r="B39">
        <v>35</v>
      </c>
      <c r="C39">
        <v>17</v>
      </c>
      <c r="D39">
        <v>572</v>
      </c>
      <c r="E39">
        <v>36.1</v>
      </c>
      <c r="F39" s="2">
        <v>3.9100000000000003E-2</v>
      </c>
      <c r="G39" s="3">
        <v>154</v>
      </c>
    </row>
    <row r="40" spans="1:7" x14ac:dyDescent="0.25">
      <c r="A40" s="1">
        <v>36586</v>
      </c>
      <c r="B40">
        <v>35</v>
      </c>
      <c r="C40">
        <v>3</v>
      </c>
      <c r="D40">
        <v>564</v>
      </c>
      <c r="E40">
        <v>39.799999999999997</v>
      </c>
      <c r="F40" s="2">
        <v>4.8000000000000001E-2</v>
      </c>
      <c r="G40" s="3">
        <v>163</v>
      </c>
    </row>
    <row r="41" spans="1:7" x14ac:dyDescent="0.25">
      <c r="A41" s="1">
        <v>36617</v>
      </c>
      <c r="B41">
        <v>45</v>
      </c>
      <c r="C41">
        <v>28</v>
      </c>
      <c r="D41">
        <v>537</v>
      </c>
      <c r="E41">
        <v>45.8</v>
      </c>
      <c r="F41" s="2">
        <v>3.5999999999999997E-2</v>
      </c>
      <c r="G41" s="3">
        <v>171</v>
      </c>
    </row>
    <row r="42" spans="1:7" x14ac:dyDescent="0.25">
      <c r="A42" s="1">
        <v>36647</v>
      </c>
      <c r="B42">
        <v>33</v>
      </c>
      <c r="C42">
        <v>12</v>
      </c>
      <c r="D42">
        <v>512</v>
      </c>
      <c r="E42">
        <v>36.299999999999997</v>
      </c>
      <c r="F42" s="2">
        <v>-1.9599999999999999E-2</v>
      </c>
      <c r="G42" s="3">
        <v>151</v>
      </c>
    </row>
    <row r="43" spans="1:7" x14ac:dyDescent="0.25">
      <c r="A43" s="1">
        <v>36678</v>
      </c>
      <c r="B43">
        <v>41</v>
      </c>
      <c r="C43">
        <v>-8</v>
      </c>
      <c r="D43">
        <v>549</v>
      </c>
      <c r="E43">
        <v>45.2</v>
      </c>
      <c r="F43" s="2">
        <v>2.12E-2</v>
      </c>
      <c r="G43" s="3">
        <v>171</v>
      </c>
    </row>
    <row r="44" spans="1:7" x14ac:dyDescent="0.25">
      <c r="A44" s="1">
        <v>36708</v>
      </c>
      <c r="B44">
        <v>36</v>
      </c>
      <c r="C44">
        <v>-2</v>
      </c>
      <c r="D44">
        <v>443</v>
      </c>
      <c r="E44">
        <v>42.9</v>
      </c>
      <c r="F44" s="2">
        <v>2.47E-2</v>
      </c>
      <c r="G44" s="3">
        <v>156</v>
      </c>
    </row>
    <row r="45" spans="1:7" x14ac:dyDescent="0.25">
      <c r="A45" s="1">
        <v>36739</v>
      </c>
      <c r="B45">
        <v>35</v>
      </c>
      <c r="C45">
        <v>-14</v>
      </c>
      <c r="D45">
        <v>449</v>
      </c>
      <c r="E45">
        <v>41.3</v>
      </c>
      <c r="F45" s="2">
        <v>1.84E-2</v>
      </c>
      <c r="G45" s="3">
        <v>163</v>
      </c>
    </row>
    <row r="46" spans="1:7" x14ac:dyDescent="0.25">
      <c r="A46" s="1">
        <v>36770</v>
      </c>
      <c r="B46">
        <v>18</v>
      </c>
      <c r="C46">
        <v>5</v>
      </c>
      <c r="D46">
        <v>557</v>
      </c>
      <c r="E46">
        <v>20.100000000000001</v>
      </c>
      <c r="F46" s="2">
        <v>-7.4000000000000003E-3</v>
      </c>
      <c r="G46" s="3">
        <v>147</v>
      </c>
    </row>
    <row r="47" spans="1:7" x14ac:dyDescent="0.25">
      <c r="A47" s="1">
        <v>36800</v>
      </c>
      <c r="B47">
        <v>36</v>
      </c>
      <c r="C47">
        <v>4</v>
      </c>
      <c r="D47">
        <v>921</v>
      </c>
      <c r="E47">
        <v>38.1</v>
      </c>
      <c r="F47" s="2">
        <v>1.6299999999999999E-2</v>
      </c>
      <c r="G47" s="3">
        <v>194</v>
      </c>
    </row>
    <row r="48" spans="1:7" x14ac:dyDescent="0.25">
      <c r="A48" s="1">
        <v>36831</v>
      </c>
      <c r="B48">
        <v>28</v>
      </c>
      <c r="C48">
        <v>5</v>
      </c>
      <c r="D48">
        <v>480</v>
      </c>
      <c r="E48">
        <v>39.200000000000003</v>
      </c>
      <c r="F48" s="2">
        <v>-4.2200000000000001E-2</v>
      </c>
      <c r="G48" s="3">
        <v>151</v>
      </c>
    </row>
    <row r="49" spans="1:7" x14ac:dyDescent="0.25">
      <c r="A49" s="1">
        <v>36861</v>
      </c>
      <c r="B49">
        <v>35</v>
      </c>
      <c r="C49">
        <v>15</v>
      </c>
      <c r="D49">
        <v>547</v>
      </c>
      <c r="E49">
        <v>36.700000000000003</v>
      </c>
      <c r="F49" s="2">
        <v>1.9E-2</v>
      </c>
      <c r="G49" s="3">
        <v>160</v>
      </c>
    </row>
    <row r="50" spans="1:7" x14ac:dyDescent="0.25">
      <c r="A50" s="1">
        <v>36892</v>
      </c>
      <c r="B50">
        <v>31</v>
      </c>
      <c r="C50">
        <v>-5</v>
      </c>
      <c r="D50">
        <v>504</v>
      </c>
      <c r="E50">
        <v>32.6</v>
      </c>
      <c r="F50" s="2">
        <v>1.23E-2</v>
      </c>
      <c r="G50" s="3">
        <v>159</v>
      </c>
    </row>
    <row r="51" spans="1:7" x14ac:dyDescent="0.25">
      <c r="A51" s="1">
        <v>36923</v>
      </c>
      <c r="B51">
        <v>48</v>
      </c>
      <c r="C51">
        <v>7</v>
      </c>
      <c r="D51">
        <v>523</v>
      </c>
      <c r="E51">
        <v>48.8</v>
      </c>
      <c r="F51" s="2">
        <v>2.2000000000000001E-3</v>
      </c>
      <c r="G51" s="3">
        <v>173</v>
      </c>
    </row>
    <row r="52" spans="1:7" x14ac:dyDescent="0.25">
      <c r="A52" s="1">
        <v>36951</v>
      </c>
      <c r="B52">
        <v>44</v>
      </c>
      <c r="C52">
        <v>-10</v>
      </c>
      <c r="D52">
        <v>468</v>
      </c>
      <c r="E52">
        <v>52.4</v>
      </c>
      <c r="F52" s="2">
        <v>8.9999999999999998E-4</v>
      </c>
      <c r="G52" s="3">
        <v>175</v>
      </c>
    </row>
    <row r="53" spans="1:7" x14ac:dyDescent="0.25">
      <c r="A53" s="1">
        <v>36982</v>
      </c>
      <c r="B53">
        <v>44</v>
      </c>
      <c r="C53">
        <v>-5</v>
      </c>
      <c r="D53">
        <v>464</v>
      </c>
      <c r="E53">
        <v>49.7</v>
      </c>
      <c r="F53" s="2">
        <v>-3.44E-2</v>
      </c>
      <c r="G53" s="3">
        <v>175</v>
      </c>
    </row>
    <row r="54" spans="1:7" x14ac:dyDescent="0.25">
      <c r="A54" s="1">
        <v>37012</v>
      </c>
      <c r="B54">
        <v>35</v>
      </c>
      <c r="C54">
        <v>7</v>
      </c>
      <c r="D54">
        <v>458</v>
      </c>
      <c r="E54">
        <v>41.3</v>
      </c>
      <c r="F54" s="2">
        <v>-0.05</v>
      </c>
      <c r="G54" s="3">
        <v>174</v>
      </c>
    </row>
    <row r="55" spans="1:7" x14ac:dyDescent="0.25">
      <c r="A55" s="1">
        <v>37043</v>
      </c>
      <c r="B55">
        <v>49</v>
      </c>
      <c r="C55">
        <v>7</v>
      </c>
      <c r="D55">
        <v>476</v>
      </c>
      <c r="E55">
        <v>62.3</v>
      </c>
      <c r="F55" s="2">
        <v>-8.9899999999999994E-2</v>
      </c>
      <c r="G55" s="3">
        <v>188</v>
      </c>
    </row>
    <row r="56" spans="1:7" x14ac:dyDescent="0.25">
      <c r="A56" s="1">
        <v>37073</v>
      </c>
      <c r="B56">
        <v>46</v>
      </c>
      <c r="C56">
        <v>-12</v>
      </c>
      <c r="D56">
        <v>491</v>
      </c>
      <c r="E56">
        <v>53</v>
      </c>
      <c r="F56" s="2">
        <v>-3.9800000000000002E-2</v>
      </c>
      <c r="G56" s="3">
        <v>185</v>
      </c>
    </row>
    <row r="57" spans="1:7" x14ac:dyDescent="0.25">
      <c r="A57" s="1">
        <v>37104</v>
      </c>
      <c r="B57">
        <v>29</v>
      </c>
      <c r="C57">
        <v>11</v>
      </c>
      <c r="D57">
        <v>514</v>
      </c>
      <c r="E57">
        <v>35.9</v>
      </c>
      <c r="F57" s="2">
        <v>-2.6800000000000001E-2</v>
      </c>
      <c r="G57" s="3">
        <v>164</v>
      </c>
    </row>
    <row r="58" spans="1:7" x14ac:dyDescent="0.25">
      <c r="A58" s="1">
        <v>37135</v>
      </c>
      <c r="B58">
        <v>40</v>
      </c>
      <c r="C58">
        <v>4</v>
      </c>
      <c r="D58">
        <v>528</v>
      </c>
      <c r="E58">
        <v>48.7</v>
      </c>
      <c r="F58" s="2">
        <v>-1.7500000000000002E-2</v>
      </c>
      <c r="G58" s="3">
        <v>163</v>
      </c>
    </row>
    <row r="59" spans="1:7" x14ac:dyDescent="0.25">
      <c r="A59" s="1">
        <v>37165</v>
      </c>
      <c r="B59">
        <v>51</v>
      </c>
      <c r="C59">
        <v>16</v>
      </c>
      <c r="D59">
        <v>442</v>
      </c>
      <c r="E59">
        <v>57.7</v>
      </c>
      <c r="F59" s="2">
        <v>2.8299999999999999E-2</v>
      </c>
      <c r="G59" s="3">
        <v>176</v>
      </c>
    </row>
    <row r="60" spans="1:7" x14ac:dyDescent="0.25">
      <c r="A60" s="1">
        <v>37196</v>
      </c>
      <c r="B60">
        <v>40</v>
      </c>
      <c r="C60">
        <v>-5</v>
      </c>
      <c r="D60">
        <v>533</v>
      </c>
      <c r="E60">
        <v>42.8</v>
      </c>
      <c r="F60" s="2">
        <v>-1.83E-2</v>
      </c>
      <c r="G60" s="3">
        <v>172</v>
      </c>
    </row>
    <row r="61" spans="1:7" x14ac:dyDescent="0.25">
      <c r="A61" s="1">
        <v>37226</v>
      </c>
      <c r="B61">
        <v>38</v>
      </c>
      <c r="C61">
        <v>-1</v>
      </c>
      <c r="D61">
        <v>-85</v>
      </c>
      <c r="E61">
        <v>45.3</v>
      </c>
      <c r="F61" s="2">
        <v>-2.41E-2</v>
      </c>
      <c r="G61" s="3">
        <v>122</v>
      </c>
    </row>
    <row r="62" spans="1:7" x14ac:dyDescent="0.25">
      <c r="A62" s="1">
        <v>37257</v>
      </c>
      <c r="B62">
        <v>40</v>
      </c>
      <c r="C62">
        <v>3</v>
      </c>
      <c r="D62">
        <v>450</v>
      </c>
      <c r="E62">
        <v>38.5</v>
      </c>
      <c r="F62" s="2">
        <v>4.3099999999999999E-2</v>
      </c>
      <c r="G62" s="3">
        <v>168</v>
      </c>
    </row>
    <row r="63" spans="1:7" x14ac:dyDescent="0.25">
      <c r="A63" s="1">
        <v>37288</v>
      </c>
      <c r="B63">
        <v>51</v>
      </c>
      <c r="C63">
        <v>9</v>
      </c>
      <c r="D63">
        <v>597</v>
      </c>
      <c r="E63">
        <v>58.2</v>
      </c>
      <c r="F63" s="2">
        <v>-3.9899999999999998E-2</v>
      </c>
      <c r="G63" s="3">
        <v>171</v>
      </c>
    </row>
    <row r="64" spans="1:7" x14ac:dyDescent="0.25">
      <c r="A64" s="1">
        <v>37316</v>
      </c>
      <c r="B64">
        <v>38</v>
      </c>
      <c r="C64">
        <v>18</v>
      </c>
      <c r="D64">
        <v>546</v>
      </c>
      <c r="E64">
        <v>39.200000000000003</v>
      </c>
      <c r="F64" s="2">
        <v>3.6900000000000002E-2</v>
      </c>
      <c r="G64" s="3">
        <v>171</v>
      </c>
    </row>
    <row r="65" spans="1:7" x14ac:dyDescent="0.25">
      <c r="A65" s="1">
        <v>37347</v>
      </c>
      <c r="B65">
        <v>41</v>
      </c>
      <c r="C65">
        <v>-15</v>
      </c>
      <c r="D65">
        <v>437</v>
      </c>
      <c r="E65">
        <v>45.2</v>
      </c>
      <c r="F65" s="2">
        <v>-2.0899999999999998E-2</v>
      </c>
      <c r="G65" s="3">
        <v>172</v>
      </c>
    </row>
    <row r="66" spans="1:7" x14ac:dyDescent="0.25">
      <c r="A66" s="1">
        <v>37377</v>
      </c>
      <c r="B66">
        <v>23</v>
      </c>
      <c r="C66">
        <v>1</v>
      </c>
      <c r="D66">
        <v>398</v>
      </c>
      <c r="E66">
        <v>31.6</v>
      </c>
      <c r="F66" s="2">
        <v>-5.9799999999999999E-2</v>
      </c>
      <c r="G66" s="3">
        <v>150</v>
      </c>
    </row>
    <row r="67" spans="1:7" x14ac:dyDescent="0.25">
      <c r="A67" s="1">
        <v>37408</v>
      </c>
      <c r="B67">
        <v>36</v>
      </c>
      <c r="C67">
        <v>1</v>
      </c>
      <c r="D67">
        <v>399</v>
      </c>
      <c r="E67">
        <v>39.200000000000003</v>
      </c>
      <c r="F67" s="2">
        <v>-4.1200000000000001E-2</v>
      </c>
      <c r="G67" s="3">
        <v>172</v>
      </c>
    </row>
    <row r="68" spans="1:7" x14ac:dyDescent="0.25">
      <c r="A68" s="1">
        <v>37438</v>
      </c>
      <c r="B68">
        <v>18</v>
      </c>
      <c r="C68">
        <v>8</v>
      </c>
      <c r="D68">
        <v>545</v>
      </c>
      <c r="E68">
        <v>29.6</v>
      </c>
      <c r="F68" s="2">
        <v>-8.4199999999999997E-2</v>
      </c>
      <c r="G68" s="3">
        <v>144</v>
      </c>
    </row>
    <row r="69" spans="1:7" x14ac:dyDescent="0.25">
      <c r="A69" s="1">
        <v>37469</v>
      </c>
      <c r="B69">
        <v>33</v>
      </c>
      <c r="C69">
        <v>2</v>
      </c>
      <c r="D69">
        <v>485</v>
      </c>
      <c r="E69">
        <v>40</v>
      </c>
      <c r="F69" s="2">
        <v>7.1000000000000004E-3</v>
      </c>
      <c r="G69" s="3">
        <v>154</v>
      </c>
    </row>
    <row r="70" spans="1:7" x14ac:dyDescent="0.25">
      <c r="A70" s="1">
        <v>37500</v>
      </c>
      <c r="B70">
        <v>39</v>
      </c>
      <c r="C70">
        <v>19</v>
      </c>
      <c r="D70">
        <v>468</v>
      </c>
      <c r="E70">
        <v>37.9</v>
      </c>
      <c r="F70" s="2">
        <v>1.6299999999999999E-2</v>
      </c>
      <c r="G70" s="3">
        <v>160</v>
      </c>
    </row>
    <row r="71" spans="1:7" x14ac:dyDescent="0.25">
      <c r="A71" s="1">
        <v>37530</v>
      </c>
      <c r="B71">
        <v>31</v>
      </c>
      <c r="C71">
        <v>-11</v>
      </c>
      <c r="D71">
        <v>461</v>
      </c>
      <c r="E71">
        <v>37.799999999999997</v>
      </c>
      <c r="F71" s="2">
        <v>4.0000000000000001E-3</v>
      </c>
      <c r="G71" s="3">
        <v>159</v>
      </c>
    </row>
    <row r="72" spans="1:7" x14ac:dyDescent="0.25">
      <c r="A72" s="1">
        <v>37561</v>
      </c>
      <c r="B72">
        <v>36</v>
      </c>
      <c r="C72">
        <v>2</v>
      </c>
      <c r="D72">
        <v>523</v>
      </c>
      <c r="E72">
        <v>38.700000000000003</v>
      </c>
      <c r="F72" s="2">
        <v>-2.9899999999999999E-2</v>
      </c>
      <c r="G72" s="3">
        <v>156</v>
      </c>
    </row>
    <row r="73" spans="1:7" x14ac:dyDescent="0.25">
      <c r="A73" s="1">
        <v>37591</v>
      </c>
      <c r="B73">
        <v>14</v>
      </c>
      <c r="C73">
        <v>-2</v>
      </c>
      <c r="D73">
        <v>494</v>
      </c>
      <c r="E73">
        <v>20.100000000000001</v>
      </c>
      <c r="F73" s="2">
        <v>3.7400000000000003E-2</v>
      </c>
      <c r="G73" s="3">
        <v>141</v>
      </c>
    </row>
    <row r="74" spans="1:7" x14ac:dyDescent="0.25">
      <c r="A74" s="1">
        <v>37622</v>
      </c>
      <c r="B74">
        <v>32</v>
      </c>
      <c r="C74">
        <v>2</v>
      </c>
      <c r="D74">
        <v>479</v>
      </c>
      <c r="E74">
        <v>34.200000000000003</v>
      </c>
      <c r="F74" s="2">
        <v>7.1000000000000004E-3</v>
      </c>
      <c r="G74" s="3">
        <v>154</v>
      </c>
    </row>
    <row r="75" spans="1:7" x14ac:dyDescent="0.25">
      <c r="A75" s="1">
        <v>37653</v>
      </c>
      <c r="B75">
        <v>29</v>
      </c>
      <c r="C75">
        <v>12</v>
      </c>
      <c r="D75">
        <v>610</v>
      </c>
      <c r="E75">
        <v>35.9</v>
      </c>
      <c r="F75" s="2">
        <v>-7.4999999999999997E-3</v>
      </c>
      <c r="G75" s="3">
        <v>154</v>
      </c>
    </row>
    <row r="76" spans="1:7" x14ac:dyDescent="0.25">
      <c r="A76" s="1">
        <v>37681</v>
      </c>
      <c r="B76">
        <v>44</v>
      </c>
      <c r="C76">
        <v>-2</v>
      </c>
      <c r="D76">
        <v>532</v>
      </c>
      <c r="E76">
        <v>44.7</v>
      </c>
      <c r="F76" s="2">
        <v>1.7399999999999999E-2</v>
      </c>
      <c r="G76" s="3">
        <v>158</v>
      </c>
    </row>
    <row r="77" spans="1:7" x14ac:dyDescent="0.25">
      <c r="A77" s="1">
        <v>37712</v>
      </c>
      <c r="B77">
        <v>42</v>
      </c>
      <c r="C77">
        <v>0</v>
      </c>
      <c r="D77">
        <v>551</v>
      </c>
      <c r="E77">
        <v>40.9</v>
      </c>
      <c r="F77" s="2">
        <v>3.8300000000000001E-2</v>
      </c>
      <c r="G77" s="3">
        <v>156</v>
      </c>
    </row>
    <row r="78" spans="1:7" x14ac:dyDescent="0.25">
      <c r="A78" s="1">
        <v>37742</v>
      </c>
      <c r="B78">
        <v>31</v>
      </c>
      <c r="C78">
        <v>-15</v>
      </c>
      <c r="D78">
        <v>471</v>
      </c>
      <c r="E78">
        <v>35.799999999999997</v>
      </c>
      <c r="F78" s="2">
        <v>5.5199999999999999E-2</v>
      </c>
      <c r="G78" s="3">
        <v>151</v>
      </c>
    </row>
    <row r="79" spans="1:7" x14ac:dyDescent="0.25">
      <c r="A79" s="1">
        <v>37773</v>
      </c>
      <c r="B79">
        <v>22</v>
      </c>
      <c r="C79">
        <v>1</v>
      </c>
      <c r="D79">
        <v>488</v>
      </c>
      <c r="E79">
        <v>21.5</v>
      </c>
      <c r="F79" s="2">
        <v>2.24E-2</v>
      </c>
      <c r="G79" s="3">
        <v>139</v>
      </c>
    </row>
    <row r="80" spans="1:7" x14ac:dyDescent="0.25">
      <c r="A80" s="1">
        <v>37803</v>
      </c>
      <c r="B80">
        <v>29</v>
      </c>
      <c r="C80">
        <v>1</v>
      </c>
      <c r="D80">
        <v>219</v>
      </c>
      <c r="E80">
        <v>28.1</v>
      </c>
      <c r="F80" s="2">
        <v>2.1700000000000001E-2</v>
      </c>
      <c r="G80" s="3">
        <v>128</v>
      </c>
    </row>
    <row r="81" spans="1:7" x14ac:dyDescent="0.25">
      <c r="A81" s="1">
        <v>37834</v>
      </c>
      <c r="B81">
        <v>40</v>
      </c>
      <c r="C81">
        <v>-5</v>
      </c>
      <c r="D81">
        <v>581</v>
      </c>
      <c r="E81">
        <v>40.6</v>
      </c>
      <c r="F81" s="2">
        <v>4.3900000000000002E-2</v>
      </c>
      <c r="G81" s="3">
        <v>165</v>
      </c>
    </row>
    <row r="82" spans="1:7" x14ac:dyDescent="0.25">
      <c r="A82" s="1">
        <v>37865</v>
      </c>
      <c r="B82">
        <v>55</v>
      </c>
      <c r="C82">
        <v>5</v>
      </c>
      <c r="D82">
        <v>518</v>
      </c>
      <c r="E82">
        <v>60.1</v>
      </c>
      <c r="F82" s="2">
        <v>1.6199999999999999E-2</v>
      </c>
      <c r="G82" s="3">
        <v>177</v>
      </c>
    </row>
    <row r="83" spans="1:7" x14ac:dyDescent="0.25">
      <c r="A83" s="1">
        <v>37895</v>
      </c>
      <c r="B83">
        <v>41</v>
      </c>
      <c r="C83">
        <v>-3</v>
      </c>
      <c r="D83">
        <v>408</v>
      </c>
      <c r="E83">
        <v>46.7</v>
      </c>
      <c r="F83" s="2">
        <v>1.6999999999999999E-3</v>
      </c>
      <c r="G83" s="3">
        <v>174</v>
      </c>
    </row>
    <row r="84" spans="1:7" x14ac:dyDescent="0.25">
      <c r="A84" s="1">
        <v>37926</v>
      </c>
      <c r="B84">
        <v>52</v>
      </c>
      <c r="C84">
        <v>11</v>
      </c>
      <c r="D84">
        <v>475</v>
      </c>
      <c r="E84">
        <v>58.4</v>
      </c>
      <c r="F84" s="2">
        <v>-8.3599999999999994E-2</v>
      </c>
      <c r="G84" s="3">
        <v>180</v>
      </c>
    </row>
    <row r="85" spans="1:7" x14ac:dyDescent="0.25">
      <c r="A85" s="1">
        <v>37956</v>
      </c>
      <c r="B85">
        <v>45</v>
      </c>
      <c r="C85">
        <v>-3</v>
      </c>
      <c r="D85">
        <v>585</v>
      </c>
      <c r="E85">
        <v>50</v>
      </c>
      <c r="F85" s="2">
        <v>-3.0700000000000002E-2</v>
      </c>
      <c r="G85" s="3">
        <v>169</v>
      </c>
    </row>
    <row r="86" spans="1:7" x14ac:dyDescent="0.25">
      <c r="A86" s="1">
        <v>37987</v>
      </c>
      <c r="B86">
        <v>47</v>
      </c>
      <c r="C86">
        <v>-10</v>
      </c>
      <c r="D86">
        <v>459</v>
      </c>
      <c r="E86">
        <v>54.6</v>
      </c>
      <c r="F86" s="2">
        <v>3.3000000000000002E-2</v>
      </c>
      <c r="G86" s="3">
        <v>169</v>
      </c>
    </row>
    <row r="87" spans="1:7" x14ac:dyDescent="0.25">
      <c r="A87" s="1">
        <v>38018</v>
      </c>
      <c r="B87">
        <v>37</v>
      </c>
      <c r="C87">
        <v>0</v>
      </c>
      <c r="D87">
        <v>453</v>
      </c>
      <c r="E87">
        <v>41.1</v>
      </c>
      <c r="F87" s="2">
        <v>0</v>
      </c>
      <c r="G87" s="3">
        <v>163</v>
      </c>
    </row>
    <row r="88" spans="1:7" x14ac:dyDescent="0.25">
      <c r="A88" s="1">
        <v>38047</v>
      </c>
      <c r="B88">
        <v>22</v>
      </c>
      <c r="C88">
        <v>10</v>
      </c>
      <c r="D88">
        <v>535</v>
      </c>
      <c r="E88">
        <v>30.4</v>
      </c>
      <c r="F88" s="2">
        <v>-1.5900000000000001E-2</v>
      </c>
      <c r="G88" s="3">
        <v>153</v>
      </c>
    </row>
    <row r="89" spans="1:7" x14ac:dyDescent="0.25">
      <c r="A89" s="1">
        <v>38078</v>
      </c>
      <c r="B89">
        <v>47</v>
      </c>
      <c r="C89">
        <v>-15</v>
      </c>
      <c r="D89">
        <v>583</v>
      </c>
      <c r="E89">
        <v>54.5</v>
      </c>
      <c r="F89" s="2">
        <v>-1.46E-2</v>
      </c>
      <c r="G89" s="3">
        <v>174</v>
      </c>
    </row>
    <row r="90" spans="1:7" x14ac:dyDescent="0.25">
      <c r="A90" s="1">
        <v>38108</v>
      </c>
      <c r="B90">
        <v>33</v>
      </c>
      <c r="C90">
        <v>24</v>
      </c>
      <c r="D90">
        <v>515</v>
      </c>
      <c r="E90">
        <v>39.200000000000003</v>
      </c>
      <c r="F90" s="2">
        <v>3.1600000000000003E-2</v>
      </c>
      <c r="G90" s="3">
        <v>160</v>
      </c>
    </row>
    <row r="91" spans="1:7" x14ac:dyDescent="0.25">
      <c r="A91" s="1">
        <v>38139</v>
      </c>
      <c r="B91">
        <v>38</v>
      </c>
      <c r="C91">
        <v>7</v>
      </c>
      <c r="D91">
        <v>504</v>
      </c>
      <c r="E91">
        <v>41.9</v>
      </c>
      <c r="F91" s="2">
        <v>-1.6999999999999999E-3</v>
      </c>
      <c r="G91" s="3">
        <v>162</v>
      </c>
    </row>
    <row r="92" spans="1:7" x14ac:dyDescent="0.25">
      <c r="A92" s="1">
        <v>38169</v>
      </c>
      <c r="B92">
        <v>28</v>
      </c>
      <c r="C92">
        <v>15</v>
      </c>
      <c r="D92">
        <v>480</v>
      </c>
      <c r="E92">
        <v>32.4</v>
      </c>
      <c r="F92" s="2">
        <v>7.4999999999999997E-3</v>
      </c>
      <c r="G92" s="3">
        <v>162</v>
      </c>
    </row>
    <row r="93" spans="1:7" x14ac:dyDescent="0.25">
      <c r="A93" s="1">
        <v>38200</v>
      </c>
      <c r="B93">
        <v>42</v>
      </c>
      <c r="C93">
        <v>7</v>
      </c>
      <c r="D93">
        <v>592</v>
      </c>
      <c r="E93">
        <v>51.6</v>
      </c>
      <c r="F93" s="2">
        <v>-5.3800000000000001E-2</v>
      </c>
      <c r="G93" s="3">
        <v>163</v>
      </c>
    </row>
    <row r="94" spans="1:7" x14ac:dyDescent="0.25">
      <c r="A94" s="1">
        <v>38231</v>
      </c>
      <c r="B94">
        <v>16</v>
      </c>
      <c r="C94">
        <v>-2</v>
      </c>
      <c r="D94">
        <v>450</v>
      </c>
      <c r="E94">
        <v>13</v>
      </c>
      <c r="F94" s="2">
        <v>5.74E-2</v>
      </c>
      <c r="G94" s="3">
        <v>148</v>
      </c>
    </row>
    <row r="95" spans="1:7" x14ac:dyDescent="0.25">
      <c r="A95" s="1">
        <v>38261</v>
      </c>
      <c r="B95">
        <v>44</v>
      </c>
      <c r="C95">
        <v>-5</v>
      </c>
      <c r="D95">
        <v>496</v>
      </c>
      <c r="E95">
        <v>49.8</v>
      </c>
      <c r="F95" s="2">
        <v>-7.1000000000000004E-3</v>
      </c>
      <c r="G95" s="3">
        <v>166</v>
      </c>
    </row>
    <row r="96" spans="1:7" x14ac:dyDescent="0.25">
      <c r="A96" s="1">
        <v>38292</v>
      </c>
      <c r="B96">
        <v>35</v>
      </c>
      <c r="C96">
        <v>10</v>
      </c>
      <c r="D96">
        <v>432</v>
      </c>
      <c r="E96">
        <v>40.4</v>
      </c>
      <c r="F96" s="2">
        <v>3.1699999999999999E-2</v>
      </c>
      <c r="G96" s="3">
        <v>167</v>
      </c>
    </row>
    <row r="97" spans="1:7" x14ac:dyDescent="0.25">
      <c r="A97" s="1">
        <v>38322</v>
      </c>
      <c r="B97">
        <v>41</v>
      </c>
      <c r="C97">
        <v>5</v>
      </c>
      <c r="D97">
        <v>500</v>
      </c>
      <c r="E97">
        <v>45.9</v>
      </c>
      <c r="F97" s="2">
        <v>-6.3E-2</v>
      </c>
      <c r="G97" s="3">
        <v>178</v>
      </c>
    </row>
    <row r="98" spans="1:7" x14ac:dyDescent="0.25">
      <c r="A98" s="1">
        <v>38353</v>
      </c>
      <c r="B98">
        <v>16</v>
      </c>
      <c r="C98">
        <v>7</v>
      </c>
      <c r="D98">
        <v>498</v>
      </c>
      <c r="E98">
        <v>29.1</v>
      </c>
      <c r="F98" s="2">
        <v>-8.1799999999999998E-2</v>
      </c>
      <c r="G98" s="3">
        <v>151</v>
      </c>
    </row>
    <row r="99" spans="1:7" x14ac:dyDescent="0.25">
      <c r="A99" s="1">
        <v>38384</v>
      </c>
      <c r="B99">
        <v>50</v>
      </c>
      <c r="C99">
        <v>15</v>
      </c>
      <c r="D99">
        <v>409</v>
      </c>
      <c r="E99">
        <v>56</v>
      </c>
      <c r="F99" s="2">
        <v>-5.3100000000000001E-2</v>
      </c>
      <c r="G99" s="3">
        <v>173</v>
      </c>
    </row>
    <row r="100" spans="1:7" x14ac:dyDescent="0.25">
      <c r="A100" s="1">
        <v>38412</v>
      </c>
      <c r="B100">
        <v>49</v>
      </c>
      <c r="C100">
        <v>16</v>
      </c>
      <c r="D100">
        <v>536</v>
      </c>
      <c r="E100">
        <v>50.2</v>
      </c>
      <c r="F100" s="2">
        <v>-1.2500000000000001E-2</v>
      </c>
      <c r="G100" s="3">
        <v>171</v>
      </c>
    </row>
    <row r="101" spans="1:7" x14ac:dyDescent="0.25">
      <c r="A101" s="1">
        <v>38443</v>
      </c>
      <c r="B101">
        <v>30</v>
      </c>
      <c r="C101">
        <v>0</v>
      </c>
      <c r="D101">
        <v>550</v>
      </c>
      <c r="E101">
        <v>37.200000000000003</v>
      </c>
      <c r="F101" s="2">
        <v>3.0099999999999998E-2</v>
      </c>
      <c r="G101" s="3">
        <v>156</v>
      </c>
    </row>
    <row r="102" spans="1:7" x14ac:dyDescent="0.25">
      <c r="A102" s="1">
        <v>38473</v>
      </c>
      <c r="B102">
        <v>35</v>
      </c>
      <c r="C102">
        <v>-12</v>
      </c>
      <c r="D102">
        <v>519</v>
      </c>
      <c r="E102">
        <v>39.5</v>
      </c>
      <c r="F102" s="2">
        <v>1.72E-2</v>
      </c>
      <c r="G102" s="3">
        <v>164</v>
      </c>
    </row>
    <row r="103" spans="1:7" x14ac:dyDescent="0.25">
      <c r="A103" s="1">
        <v>38504</v>
      </c>
      <c r="B103">
        <v>54</v>
      </c>
      <c r="C103">
        <v>-7</v>
      </c>
      <c r="D103">
        <v>449</v>
      </c>
      <c r="E103">
        <v>64.2</v>
      </c>
      <c r="F103" s="2">
        <v>-1.14E-2</v>
      </c>
      <c r="G103" s="3">
        <v>186</v>
      </c>
    </row>
    <row r="104" spans="1:7" x14ac:dyDescent="0.25">
      <c r="A104" s="1">
        <v>38534</v>
      </c>
      <c r="B104">
        <v>39</v>
      </c>
      <c r="C104">
        <v>-4</v>
      </c>
      <c r="D104">
        <v>492</v>
      </c>
      <c r="E104">
        <v>44.9</v>
      </c>
      <c r="F104" s="2">
        <v>-6.2E-2</v>
      </c>
      <c r="G104" s="3">
        <v>164</v>
      </c>
    </row>
    <row r="105" spans="1:7" x14ac:dyDescent="0.25">
      <c r="A105" s="1">
        <v>38565</v>
      </c>
      <c r="B105">
        <v>31</v>
      </c>
      <c r="C105">
        <v>-1</v>
      </c>
      <c r="D105">
        <v>533</v>
      </c>
      <c r="E105">
        <v>34.799999999999997</v>
      </c>
      <c r="F105" s="2">
        <v>-4.4999999999999997E-3</v>
      </c>
      <c r="G105" s="3">
        <v>168</v>
      </c>
    </row>
    <row r="106" spans="1:7" x14ac:dyDescent="0.25">
      <c r="A106" s="1">
        <v>38596</v>
      </c>
      <c r="B106">
        <v>52</v>
      </c>
      <c r="C106">
        <v>2</v>
      </c>
      <c r="D106">
        <v>513</v>
      </c>
      <c r="E106">
        <v>56.4</v>
      </c>
      <c r="F106" s="2">
        <v>-3.1399999999999997E-2</v>
      </c>
      <c r="G106" s="3">
        <v>179</v>
      </c>
    </row>
    <row r="107" spans="1:7" x14ac:dyDescent="0.25">
      <c r="A107" s="1">
        <v>38626</v>
      </c>
      <c r="B107">
        <v>58</v>
      </c>
      <c r="C107">
        <v>-1</v>
      </c>
      <c r="D107">
        <v>406</v>
      </c>
      <c r="E107">
        <v>64.400000000000006</v>
      </c>
      <c r="F107" s="2">
        <v>-8.3999999999999995E-3</v>
      </c>
      <c r="G107" s="3">
        <v>186</v>
      </c>
    </row>
    <row r="108" spans="1:7" x14ac:dyDescent="0.25">
      <c r="A108" s="1">
        <v>38657</v>
      </c>
      <c r="B108">
        <v>33</v>
      </c>
      <c r="C108">
        <v>3</v>
      </c>
      <c r="D108">
        <v>556</v>
      </c>
      <c r="E108">
        <v>42.1</v>
      </c>
      <c r="F108" s="2">
        <v>-1.9900000000000001E-2</v>
      </c>
      <c r="G108" s="3">
        <v>168</v>
      </c>
    </row>
    <row r="109" spans="1:7" x14ac:dyDescent="0.25">
      <c r="A109" s="1">
        <v>38687</v>
      </c>
      <c r="B109">
        <v>35</v>
      </c>
      <c r="C109">
        <v>-21</v>
      </c>
      <c r="D109">
        <v>474</v>
      </c>
      <c r="E109">
        <v>38.700000000000003</v>
      </c>
      <c r="F109" s="2">
        <v>-3.2000000000000002E-3</v>
      </c>
      <c r="G109" s="3">
        <v>170</v>
      </c>
    </row>
    <row r="110" spans="1:7" x14ac:dyDescent="0.25">
      <c r="A110" s="1">
        <v>38718</v>
      </c>
      <c r="B110">
        <v>39</v>
      </c>
      <c r="C110">
        <v>-6</v>
      </c>
      <c r="D110">
        <v>899</v>
      </c>
      <c r="E110">
        <v>42.7</v>
      </c>
      <c r="F110" s="2">
        <v>-5.1799999999999999E-2</v>
      </c>
      <c r="G110" s="3">
        <v>203</v>
      </c>
    </row>
    <row r="111" spans="1:7" x14ac:dyDescent="0.25">
      <c r="A111" s="1">
        <v>38749</v>
      </c>
      <c r="B111">
        <v>33</v>
      </c>
      <c r="C111">
        <v>3</v>
      </c>
      <c r="D111">
        <v>478</v>
      </c>
      <c r="E111">
        <v>43.4</v>
      </c>
      <c r="F111" s="2">
        <v>-9.9599999999999994E-2</v>
      </c>
      <c r="G111" s="3">
        <v>170</v>
      </c>
    </row>
    <row r="112" spans="1:7" x14ac:dyDescent="0.25">
      <c r="A112" s="1">
        <v>38777</v>
      </c>
      <c r="B112">
        <v>38</v>
      </c>
      <c r="C112">
        <v>-5</v>
      </c>
      <c r="D112">
        <v>494</v>
      </c>
      <c r="E112">
        <v>50.8</v>
      </c>
      <c r="F112" s="2">
        <v>-4.36E-2</v>
      </c>
      <c r="G112" s="3">
        <v>164</v>
      </c>
    </row>
    <row r="113" spans="1:7" x14ac:dyDescent="0.25">
      <c r="A113" s="1">
        <v>38808</v>
      </c>
      <c r="B113">
        <v>37</v>
      </c>
      <c r="C113">
        <v>12</v>
      </c>
      <c r="D113">
        <v>530</v>
      </c>
      <c r="E113">
        <v>39.5</v>
      </c>
      <c r="F113" s="2">
        <v>2.1000000000000001E-2</v>
      </c>
      <c r="G113" s="3">
        <v>170</v>
      </c>
    </row>
    <row r="114" spans="1:7" x14ac:dyDescent="0.25">
      <c r="A114" s="1">
        <v>38838</v>
      </c>
      <c r="B114">
        <v>21</v>
      </c>
      <c r="C114">
        <v>6</v>
      </c>
      <c r="D114">
        <v>556</v>
      </c>
      <c r="E114">
        <v>26.5</v>
      </c>
      <c r="F114" s="2">
        <v>-1.9800000000000002E-2</v>
      </c>
      <c r="G114" s="3">
        <v>150</v>
      </c>
    </row>
    <row r="115" spans="1:7" x14ac:dyDescent="0.25">
      <c r="A115" s="1">
        <v>38869</v>
      </c>
      <c r="B115">
        <v>29</v>
      </c>
      <c r="C115">
        <v>-5</v>
      </c>
      <c r="D115">
        <v>487</v>
      </c>
      <c r="E115">
        <v>36.700000000000003</v>
      </c>
      <c r="F115" s="2">
        <v>6.1000000000000004E-3</v>
      </c>
      <c r="G115" s="3">
        <v>150</v>
      </c>
    </row>
    <row r="116" spans="1:7" x14ac:dyDescent="0.25">
      <c r="A116" s="1">
        <v>38899</v>
      </c>
      <c r="B116">
        <v>26</v>
      </c>
      <c r="C116">
        <v>9</v>
      </c>
      <c r="D116">
        <v>536</v>
      </c>
      <c r="E116">
        <v>26.8</v>
      </c>
      <c r="F116" s="2">
        <v>8.5000000000000006E-3</v>
      </c>
      <c r="G116" s="3">
        <v>145</v>
      </c>
    </row>
    <row r="117" spans="1:7" x14ac:dyDescent="0.25">
      <c r="A117" s="1">
        <v>38930</v>
      </c>
      <c r="B117">
        <v>25</v>
      </c>
      <c r="C117">
        <v>0</v>
      </c>
      <c r="D117">
        <v>551</v>
      </c>
      <c r="E117">
        <v>26.1</v>
      </c>
      <c r="F117" s="2">
        <v>3.1699999999999999E-2</v>
      </c>
      <c r="G117" s="3">
        <v>151</v>
      </c>
    </row>
    <row r="118" spans="1:7" x14ac:dyDescent="0.25">
      <c r="A118" s="1">
        <v>38961</v>
      </c>
      <c r="B118">
        <v>24</v>
      </c>
      <c r="C118">
        <v>-9</v>
      </c>
      <c r="D118">
        <v>505</v>
      </c>
      <c r="E118">
        <v>25.1</v>
      </c>
      <c r="F118" s="2">
        <v>1.21E-2</v>
      </c>
      <c r="G118" s="3">
        <v>152</v>
      </c>
    </row>
    <row r="119" spans="1:7" x14ac:dyDescent="0.25">
      <c r="A119" s="1">
        <v>38991</v>
      </c>
      <c r="B119">
        <v>45</v>
      </c>
      <c r="C119">
        <v>18</v>
      </c>
      <c r="D119">
        <v>517</v>
      </c>
      <c r="E119">
        <v>53.8</v>
      </c>
      <c r="F119" s="2">
        <v>-8.2000000000000007E-3</v>
      </c>
      <c r="G119" s="3">
        <v>161</v>
      </c>
    </row>
    <row r="120" spans="1:7" x14ac:dyDescent="0.25">
      <c r="A120" s="1">
        <v>39022</v>
      </c>
      <c r="B120">
        <v>49</v>
      </c>
      <c r="C120">
        <v>-5</v>
      </c>
      <c r="D120">
        <v>545</v>
      </c>
      <c r="E120">
        <v>49.1</v>
      </c>
      <c r="F120" s="2">
        <v>5.91E-2</v>
      </c>
      <c r="G120" s="3">
        <v>171</v>
      </c>
    </row>
    <row r="121" spans="1:7" x14ac:dyDescent="0.25">
      <c r="A121" s="1">
        <v>39052</v>
      </c>
      <c r="B121">
        <v>31</v>
      </c>
      <c r="C121">
        <v>-1</v>
      </c>
      <c r="D121">
        <v>589</v>
      </c>
      <c r="E121">
        <v>30.9</v>
      </c>
      <c r="F121" s="2">
        <v>3.8100000000000002E-2</v>
      </c>
      <c r="G121" s="3">
        <v>160</v>
      </c>
    </row>
    <row r="122" spans="1:7" x14ac:dyDescent="0.25">
      <c r="A122" s="1">
        <v>39083</v>
      </c>
      <c r="B122">
        <v>43</v>
      </c>
      <c r="C122">
        <v>9</v>
      </c>
      <c r="D122">
        <v>527</v>
      </c>
      <c r="E122">
        <v>52.3</v>
      </c>
      <c r="F122" s="2">
        <v>8.8999999999999999E-3</v>
      </c>
      <c r="G122" s="3">
        <v>173</v>
      </c>
    </row>
    <row r="123" spans="1:7" x14ac:dyDescent="0.25">
      <c r="A123" s="1">
        <v>39114</v>
      </c>
      <c r="B123">
        <v>46</v>
      </c>
      <c r="C123">
        <v>-11</v>
      </c>
      <c r="D123">
        <v>523</v>
      </c>
      <c r="E123">
        <v>49.9</v>
      </c>
      <c r="F123" s="2">
        <v>-1.49E-2</v>
      </c>
      <c r="G123" s="3">
        <v>166</v>
      </c>
    </row>
    <row r="124" spans="1:7" x14ac:dyDescent="0.25">
      <c r="A124" s="1">
        <v>39142</v>
      </c>
      <c r="B124">
        <v>52</v>
      </c>
      <c r="C124">
        <v>6</v>
      </c>
      <c r="D124">
        <v>493</v>
      </c>
      <c r="E124">
        <v>56.2</v>
      </c>
      <c r="F124" s="2">
        <v>4.1099999999999998E-2</v>
      </c>
      <c r="G124" s="3">
        <v>179</v>
      </c>
    </row>
    <row r="125" spans="1:7" x14ac:dyDescent="0.25">
      <c r="A125" s="1">
        <v>39173</v>
      </c>
      <c r="B125">
        <v>40</v>
      </c>
      <c r="C125">
        <v>18</v>
      </c>
      <c r="D125">
        <v>482</v>
      </c>
      <c r="E125">
        <v>45.7</v>
      </c>
      <c r="F125" s="2">
        <v>1.2999999999999999E-3</v>
      </c>
      <c r="G125" s="3">
        <v>168</v>
      </c>
    </row>
    <row r="126" spans="1:7" x14ac:dyDescent="0.25">
      <c r="A126" s="1">
        <v>39203</v>
      </c>
      <c r="B126">
        <v>21</v>
      </c>
      <c r="C126">
        <v>-14</v>
      </c>
      <c r="D126">
        <v>552</v>
      </c>
      <c r="E126">
        <v>28.8</v>
      </c>
      <c r="F126" s="2">
        <v>-2.0000000000000001E-4</v>
      </c>
      <c r="G126" s="3">
        <v>158</v>
      </c>
    </row>
    <row r="127" spans="1:7" x14ac:dyDescent="0.25">
      <c r="A127" s="1">
        <v>39234</v>
      </c>
      <c r="B127">
        <v>35</v>
      </c>
      <c r="C127">
        <v>4</v>
      </c>
      <c r="D127">
        <v>114</v>
      </c>
      <c r="E127">
        <v>43.3</v>
      </c>
      <c r="F127" s="2">
        <v>-2.8500000000000001E-2</v>
      </c>
      <c r="G127" s="3">
        <v>130</v>
      </c>
    </row>
    <row r="128" spans="1:7" x14ac:dyDescent="0.25">
      <c r="A128" s="1">
        <v>39264</v>
      </c>
      <c r="B128">
        <v>26</v>
      </c>
      <c r="C128">
        <v>8</v>
      </c>
      <c r="D128">
        <v>507</v>
      </c>
      <c r="E128">
        <v>33</v>
      </c>
      <c r="F128" s="2">
        <v>2.64E-2</v>
      </c>
      <c r="G128" s="3">
        <v>142</v>
      </c>
    </row>
    <row r="129" spans="1:7" x14ac:dyDescent="0.25">
      <c r="A129" s="1">
        <v>39295</v>
      </c>
      <c r="B129">
        <v>43</v>
      </c>
      <c r="C129">
        <v>7</v>
      </c>
      <c r="D129">
        <v>561</v>
      </c>
      <c r="E129">
        <v>50.8</v>
      </c>
      <c r="F129" s="2">
        <v>2.5499999999999998E-2</v>
      </c>
      <c r="G129" s="3">
        <v>157</v>
      </c>
    </row>
    <row r="130" spans="1:7" x14ac:dyDescent="0.25">
      <c r="A130" s="1">
        <v>39326</v>
      </c>
      <c r="B130">
        <v>35</v>
      </c>
      <c r="C130">
        <v>20</v>
      </c>
      <c r="D130">
        <v>469</v>
      </c>
      <c r="E130">
        <v>34.4</v>
      </c>
      <c r="F130" s="2">
        <v>5.0299999999999997E-2</v>
      </c>
      <c r="G130" s="3">
        <v>157</v>
      </c>
    </row>
    <row r="131" spans="1:7" x14ac:dyDescent="0.25">
      <c r="A131" s="1">
        <v>39356</v>
      </c>
      <c r="B131">
        <v>23</v>
      </c>
      <c r="C131">
        <v>4</v>
      </c>
      <c r="D131">
        <v>575</v>
      </c>
      <c r="E131">
        <v>28.8</v>
      </c>
      <c r="F131" s="2">
        <v>-2.4400000000000002E-2</v>
      </c>
      <c r="G131" s="3">
        <v>150</v>
      </c>
    </row>
    <row r="132" spans="1:7" x14ac:dyDescent="0.25">
      <c r="A132" s="1">
        <v>39387</v>
      </c>
      <c r="B132">
        <v>40</v>
      </c>
      <c r="C132">
        <v>11</v>
      </c>
      <c r="D132">
        <v>476</v>
      </c>
      <c r="E132">
        <v>45.6</v>
      </c>
      <c r="F132" s="2">
        <v>-1.4E-2</v>
      </c>
      <c r="G132" s="3">
        <v>162</v>
      </c>
    </row>
    <row r="133" spans="1:7" x14ac:dyDescent="0.25">
      <c r="A133" s="1">
        <v>39417</v>
      </c>
      <c r="B133">
        <v>36</v>
      </c>
      <c r="C133">
        <v>-8</v>
      </c>
      <c r="D133">
        <v>458</v>
      </c>
      <c r="E133">
        <v>44.9</v>
      </c>
      <c r="F133" s="2">
        <v>8.3999999999999995E-3</v>
      </c>
      <c r="G133" s="3">
        <v>155</v>
      </c>
    </row>
    <row r="134" spans="1:7" x14ac:dyDescent="0.25">
      <c r="A134" s="1">
        <v>39448</v>
      </c>
      <c r="B134">
        <v>48</v>
      </c>
      <c r="C134">
        <v>17</v>
      </c>
      <c r="D134">
        <v>553</v>
      </c>
      <c r="E134">
        <v>55.2</v>
      </c>
      <c r="F134" s="2">
        <v>2.9399999999999999E-2</v>
      </c>
      <c r="G134" s="3">
        <v>168</v>
      </c>
    </row>
    <row r="135" spans="1:7" x14ac:dyDescent="0.25">
      <c r="A135" s="1">
        <v>39479</v>
      </c>
      <c r="B135">
        <v>45</v>
      </c>
      <c r="C135">
        <v>-5</v>
      </c>
      <c r="D135">
        <v>513</v>
      </c>
      <c r="E135">
        <v>45.2</v>
      </c>
      <c r="F135" s="2">
        <v>1.1299999999999999E-2</v>
      </c>
      <c r="G135" s="3">
        <v>160</v>
      </c>
    </row>
    <row r="136" spans="1:7" x14ac:dyDescent="0.25">
      <c r="A136" s="1">
        <v>39508</v>
      </c>
      <c r="B136">
        <v>35</v>
      </c>
      <c r="C136">
        <v>10</v>
      </c>
      <c r="D136">
        <v>517</v>
      </c>
      <c r="E136">
        <v>34.4</v>
      </c>
      <c r="F136" s="2">
        <v>2.5100000000000001E-2</v>
      </c>
      <c r="G136" s="3">
        <v>161</v>
      </c>
    </row>
    <row r="137" spans="1:7" x14ac:dyDescent="0.25">
      <c r="A137" s="1">
        <v>39539</v>
      </c>
      <c r="B137">
        <v>41</v>
      </c>
      <c r="C137">
        <v>-7</v>
      </c>
      <c r="D137">
        <v>478</v>
      </c>
      <c r="E137">
        <v>43.7</v>
      </c>
      <c r="F137" s="2">
        <v>1.1599999999999999E-2</v>
      </c>
      <c r="G137" s="3">
        <v>170</v>
      </c>
    </row>
    <row r="138" spans="1:7" x14ac:dyDescent="0.25">
      <c r="A138" s="1">
        <v>39569</v>
      </c>
      <c r="B138">
        <v>21</v>
      </c>
      <c r="C138">
        <v>-19</v>
      </c>
      <c r="D138">
        <v>593</v>
      </c>
      <c r="E138">
        <v>30.9</v>
      </c>
      <c r="F138" s="2">
        <v>-1.6199999999999999E-2</v>
      </c>
      <c r="G138" s="3">
        <v>147</v>
      </c>
    </row>
    <row r="139" spans="1:7" x14ac:dyDescent="0.25">
      <c r="A139" s="1">
        <v>39600</v>
      </c>
      <c r="B139">
        <v>43</v>
      </c>
      <c r="C139">
        <v>-7</v>
      </c>
      <c r="D139">
        <v>509</v>
      </c>
      <c r="E139">
        <v>46.3</v>
      </c>
      <c r="F139" s="2">
        <v>4.2200000000000001E-2</v>
      </c>
      <c r="G139" s="3">
        <v>168</v>
      </c>
    </row>
    <row r="140" spans="1:7" x14ac:dyDescent="0.25">
      <c r="A140" s="1">
        <v>39630</v>
      </c>
      <c r="B140">
        <v>27</v>
      </c>
      <c r="C140">
        <v>-2</v>
      </c>
      <c r="D140">
        <v>443</v>
      </c>
      <c r="E140">
        <v>28.3</v>
      </c>
      <c r="F140" s="2">
        <v>2.07E-2</v>
      </c>
      <c r="G140" s="3">
        <v>165</v>
      </c>
    </row>
    <row r="141" spans="1:7" x14ac:dyDescent="0.25">
      <c r="A141" s="1">
        <v>39661</v>
      </c>
      <c r="B141">
        <v>32</v>
      </c>
      <c r="C141">
        <v>-13</v>
      </c>
      <c r="D141">
        <v>495</v>
      </c>
      <c r="E141">
        <v>42.4</v>
      </c>
      <c r="F141" s="2">
        <v>-6.6299999999999998E-2</v>
      </c>
      <c r="G141" s="3">
        <v>168</v>
      </c>
    </row>
    <row r="142" spans="1:7" x14ac:dyDescent="0.25">
      <c r="A142" s="1">
        <v>39692</v>
      </c>
      <c r="B142">
        <v>37</v>
      </c>
      <c r="C142">
        <v>-2</v>
      </c>
      <c r="D142">
        <v>472</v>
      </c>
      <c r="E142">
        <v>40.5</v>
      </c>
      <c r="F142" s="2">
        <v>-4.6800000000000001E-2</v>
      </c>
      <c r="G142" s="3">
        <v>157</v>
      </c>
    </row>
    <row r="143" spans="1:7" x14ac:dyDescent="0.25">
      <c r="A143" s="1">
        <v>39722</v>
      </c>
      <c r="B143">
        <v>26</v>
      </c>
      <c r="C143">
        <v>8</v>
      </c>
      <c r="D143">
        <v>532</v>
      </c>
      <c r="E143">
        <v>29.7</v>
      </c>
      <c r="F143" s="2">
        <v>5.1999999999999998E-3</v>
      </c>
      <c r="G143" s="3">
        <v>142</v>
      </c>
    </row>
    <row r="144" spans="1:7" x14ac:dyDescent="0.25">
      <c r="A144" s="1">
        <v>39753</v>
      </c>
      <c r="B144">
        <v>37</v>
      </c>
      <c r="C144">
        <v>-3</v>
      </c>
      <c r="D144">
        <v>495</v>
      </c>
      <c r="E144">
        <v>42.2</v>
      </c>
      <c r="F144" s="2">
        <v>4.7899999999999998E-2</v>
      </c>
      <c r="G144" s="3">
        <v>157</v>
      </c>
    </row>
    <row r="145" spans="1:7" x14ac:dyDescent="0.25">
      <c r="A145" s="1">
        <v>39783</v>
      </c>
      <c r="B145">
        <v>44</v>
      </c>
      <c r="C145">
        <v>-2</v>
      </c>
      <c r="D145">
        <v>543</v>
      </c>
      <c r="E145">
        <v>46.9</v>
      </c>
      <c r="F145" s="2">
        <v>3.9300000000000002E-2</v>
      </c>
      <c r="G145" s="3">
        <v>170</v>
      </c>
    </row>
    <row r="146" spans="1:7" x14ac:dyDescent="0.25">
      <c r="A146" s="1">
        <v>39814</v>
      </c>
      <c r="B146">
        <v>37</v>
      </c>
      <c r="C146">
        <v>12</v>
      </c>
      <c r="D146">
        <v>537</v>
      </c>
      <c r="E146">
        <v>45.2</v>
      </c>
      <c r="F146" s="2">
        <v>-1.6000000000000001E-3</v>
      </c>
      <c r="G146" s="3">
        <v>163</v>
      </c>
    </row>
    <row r="147" spans="1:7" x14ac:dyDescent="0.25">
      <c r="A147" s="1">
        <v>39845</v>
      </c>
      <c r="B147">
        <v>21</v>
      </c>
      <c r="C147">
        <v>6</v>
      </c>
      <c r="D147">
        <v>500</v>
      </c>
      <c r="E147">
        <v>31.2</v>
      </c>
      <c r="F147" s="2">
        <v>-1.14E-2</v>
      </c>
      <c r="G147" s="3">
        <v>146</v>
      </c>
    </row>
    <row r="148" spans="1:7" x14ac:dyDescent="0.25">
      <c r="A148" s="1">
        <v>39873</v>
      </c>
      <c r="B148">
        <v>32</v>
      </c>
      <c r="C148">
        <v>5</v>
      </c>
      <c r="D148">
        <v>532</v>
      </c>
      <c r="E148">
        <v>41.3</v>
      </c>
      <c r="F148" s="2">
        <v>6.4999999999999997E-3</v>
      </c>
      <c r="G148" s="3">
        <v>155</v>
      </c>
    </row>
    <row r="149" spans="1:7" x14ac:dyDescent="0.25">
      <c r="A149" s="1">
        <v>39904</v>
      </c>
      <c r="B149">
        <v>34</v>
      </c>
      <c r="C149">
        <v>-3</v>
      </c>
      <c r="D149">
        <v>406</v>
      </c>
      <c r="E149">
        <v>37.1</v>
      </c>
      <c r="F149" s="2">
        <v>1.7399999999999999E-2</v>
      </c>
      <c r="G149" s="3">
        <v>169</v>
      </c>
    </row>
    <row r="150" spans="1:7" x14ac:dyDescent="0.25">
      <c r="A150" s="1">
        <v>39934</v>
      </c>
      <c r="B150">
        <v>9</v>
      </c>
      <c r="C150">
        <v>3</v>
      </c>
      <c r="D150">
        <v>515</v>
      </c>
      <c r="E150">
        <v>20.399999999999999</v>
      </c>
      <c r="F150" s="2">
        <v>-6.6699999999999995E-2</v>
      </c>
      <c r="G150" s="3">
        <v>137</v>
      </c>
    </row>
    <row r="151" spans="1:7" x14ac:dyDescent="0.25">
      <c r="A151" s="1">
        <v>39965</v>
      </c>
      <c r="B151">
        <v>17</v>
      </c>
      <c r="C151">
        <v>-3</v>
      </c>
      <c r="D151">
        <v>564</v>
      </c>
      <c r="E151">
        <v>20.3</v>
      </c>
      <c r="F151" s="2">
        <v>-4.1999999999999997E-3</v>
      </c>
      <c r="G151" s="3">
        <v>136</v>
      </c>
    </row>
    <row r="152" spans="1:7" x14ac:dyDescent="0.25">
      <c r="A152" s="1">
        <v>39995</v>
      </c>
      <c r="B152">
        <v>40</v>
      </c>
      <c r="C152">
        <v>24</v>
      </c>
      <c r="D152">
        <v>528</v>
      </c>
      <c r="E152">
        <v>42.7</v>
      </c>
      <c r="F152" s="2">
        <v>3.9100000000000003E-2</v>
      </c>
      <c r="G152" s="3">
        <v>150</v>
      </c>
    </row>
    <row r="153" spans="1:7" x14ac:dyDescent="0.25">
      <c r="A153" s="1">
        <v>40026</v>
      </c>
      <c r="B153">
        <v>29</v>
      </c>
      <c r="C153">
        <v>17</v>
      </c>
      <c r="D153">
        <v>473</v>
      </c>
      <c r="E153">
        <v>30.7</v>
      </c>
      <c r="F153" s="2">
        <v>5.8900000000000001E-2</v>
      </c>
      <c r="G153" s="3">
        <v>143</v>
      </c>
    </row>
    <row r="154" spans="1:7" x14ac:dyDescent="0.25">
      <c r="A154" s="1">
        <v>40057</v>
      </c>
      <c r="B154">
        <v>44</v>
      </c>
      <c r="C154">
        <v>-11</v>
      </c>
      <c r="D154">
        <v>470</v>
      </c>
      <c r="E154">
        <v>44.8</v>
      </c>
      <c r="F154" s="2">
        <v>5.8000000000000003E-2</v>
      </c>
      <c r="G154" s="3">
        <v>163</v>
      </c>
    </row>
    <row r="155" spans="1:7" x14ac:dyDescent="0.25">
      <c r="A155" s="1">
        <v>40087</v>
      </c>
      <c r="B155">
        <v>28</v>
      </c>
      <c r="C155">
        <v>2</v>
      </c>
      <c r="D155">
        <v>514</v>
      </c>
      <c r="E155">
        <v>30.9</v>
      </c>
      <c r="F155" s="2">
        <v>3.4299999999999997E-2</v>
      </c>
      <c r="G155" s="3">
        <v>155</v>
      </c>
    </row>
    <row r="156" spans="1:7" x14ac:dyDescent="0.25">
      <c r="A156" s="1">
        <v>40118</v>
      </c>
      <c r="B156">
        <v>37</v>
      </c>
      <c r="C156">
        <v>-7</v>
      </c>
      <c r="D156">
        <v>415</v>
      </c>
      <c r="E156">
        <v>43.4</v>
      </c>
      <c r="F156" s="2">
        <v>-4.4999999999999997E-3</v>
      </c>
      <c r="G156" s="3">
        <v>164</v>
      </c>
    </row>
    <row r="157" spans="1:7" x14ac:dyDescent="0.25">
      <c r="A157" s="1">
        <v>40148</v>
      </c>
      <c r="B157">
        <v>34</v>
      </c>
      <c r="C157">
        <v>-6</v>
      </c>
      <c r="D157">
        <v>511</v>
      </c>
      <c r="E157">
        <v>38.200000000000003</v>
      </c>
      <c r="F157" s="2">
        <v>-8.6999999999999994E-3</v>
      </c>
      <c r="G157" s="3">
        <v>156</v>
      </c>
    </row>
    <row r="158" spans="1:7" x14ac:dyDescent="0.25">
      <c r="A158" s="1">
        <v>40179</v>
      </c>
      <c r="B158">
        <v>30</v>
      </c>
      <c r="C158">
        <v>-12</v>
      </c>
      <c r="D158">
        <v>509</v>
      </c>
      <c r="E158">
        <v>35.5</v>
      </c>
      <c r="F158" s="2">
        <v>2.6200000000000001E-2</v>
      </c>
      <c r="G158" s="3">
        <v>152</v>
      </c>
    </row>
    <row r="159" spans="1:7" x14ac:dyDescent="0.25">
      <c r="A159" s="1">
        <v>40210</v>
      </c>
      <c r="B159">
        <v>43</v>
      </c>
      <c r="C159">
        <v>-14</v>
      </c>
      <c r="D159">
        <v>533</v>
      </c>
      <c r="E159">
        <v>42.7</v>
      </c>
      <c r="F159" s="2">
        <v>2.7099999999999999E-2</v>
      </c>
      <c r="G159" s="3">
        <v>162</v>
      </c>
    </row>
    <row r="160" spans="1:7" x14ac:dyDescent="0.25">
      <c r="A160" s="1">
        <v>40238</v>
      </c>
      <c r="B160">
        <v>22</v>
      </c>
      <c r="C160">
        <v>-2</v>
      </c>
      <c r="D160">
        <v>573</v>
      </c>
      <c r="E160">
        <v>20.100000000000001</v>
      </c>
      <c r="F160" s="2">
        <v>4.9299999999999997E-2</v>
      </c>
      <c r="G160" s="3">
        <v>155</v>
      </c>
    </row>
    <row r="161" spans="1:7" x14ac:dyDescent="0.25">
      <c r="A161" s="1">
        <v>40269</v>
      </c>
      <c r="B161">
        <v>29</v>
      </c>
      <c r="C161">
        <v>-12</v>
      </c>
      <c r="D161">
        <v>503</v>
      </c>
      <c r="E161">
        <v>37.799999999999997</v>
      </c>
      <c r="F161" s="2">
        <v>6.7000000000000002E-3</v>
      </c>
      <c r="G161" s="3">
        <v>157</v>
      </c>
    </row>
    <row r="162" spans="1:7" x14ac:dyDescent="0.25">
      <c r="A162" s="1">
        <v>40299</v>
      </c>
      <c r="B162">
        <v>51</v>
      </c>
      <c r="C162">
        <v>12</v>
      </c>
      <c r="D162">
        <v>467</v>
      </c>
      <c r="E162">
        <v>60.4</v>
      </c>
      <c r="F162" s="2">
        <v>-1.6999999999999999E-3</v>
      </c>
      <c r="G162" s="3">
        <v>167</v>
      </c>
    </row>
    <row r="163" spans="1:7" x14ac:dyDescent="0.25">
      <c r="A163" s="1">
        <v>40330</v>
      </c>
      <c r="B163">
        <v>24</v>
      </c>
      <c r="C163">
        <v>-4</v>
      </c>
      <c r="D163">
        <v>528</v>
      </c>
      <c r="E163">
        <v>24.4</v>
      </c>
      <c r="F163" s="2">
        <v>2.4899999999999999E-2</v>
      </c>
      <c r="G163" s="3">
        <v>160</v>
      </c>
    </row>
    <row r="164" spans="1:7" x14ac:dyDescent="0.25">
      <c r="A164" s="1">
        <v>40360</v>
      </c>
      <c r="B164">
        <v>32</v>
      </c>
      <c r="C164">
        <v>1</v>
      </c>
      <c r="D164">
        <v>488</v>
      </c>
      <c r="E164">
        <v>41.8</v>
      </c>
      <c r="F164" s="2">
        <v>-3.9399999999999998E-2</v>
      </c>
      <c r="G164" s="3">
        <v>162</v>
      </c>
    </row>
    <row r="165" spans="1:7" x14ac:dyDescent="0.25">
      <c r="A165" s="1">
        <v>40391</v>
      </c>
      <c r="B165">
        <v>30</v>
      </c>
      <c r="C165">
        <v>2</v>
      </c>
      <c r="D165">
        <v>489</v>
      </c>
      <c r="E165">
        <v>32.299999999999997</v>
      </c>
      <c r="F165" s="2">
        <v>-2.9700000000000001E-2</v>
      </c>
      <c r="G165" s="3">
        <v>161</v>
      </c>
    </row>
    <row r="166" spans="1:7" x14ac:dyDescent="0.25">
      <c r="A166" s="1">
        <v>40422</v>
      </c>
      <c r="B166">
        <v>32</v>
      </c>
      <c r="C166">
        <v>14</v>
      </c>
      <c r="D166">
        <v>517</v>
      </c>
      <c r="E166">
        <v>37.4</v>
      </c>
      <c r="F166" s="2">
        <v>-1.14E-2</v>
      </c>
      <c r="G166" s="3">
        <v>166</v>
      </c>
    </row>
    <row r="167" spans="1:7" x14ac:dyDescent="0.25">
      <c r="A167" s="1">
        <v>40452</v>
      </c>
      <c r="B167">
        <v>31</v>
      </c>
      <c r="C167">
        <v>4</v>
      </c>
      <c r="D167">
        <v>482</v>
      </c>
      <c r="E167">
        <v>33.1</v>
      </c>
      <c r="F167" s="2">
        <v>-2.1100000000000001E-2</v>
      </c>
      <c r="G167" s="3">
        <v>166</v>
      </c>
    </row>
    <row r="168" spans="1:7" x14ac:dyDescent="0.25">
      <c r="A168" s="1">
        <v>40483</v>
      </c>
      <c r="B168">
        <v>47</v>
      </c>
      <c r="C168">
        <v>-1</v>
      </c>
      <c r="D168">
        <v>531</v>
      </c>
      <c r="E168">
        <v>52.7</v>
      </c>
      <c r="F168" s="2">
        <v>-4.9299999999999997E-2</v>
      </c>
      <c r="G168" s="3">
        <v>166</v>
      </c>
    </row>
    <row r="169" spans="1:7" x14ac:dyDescent="0.25">
      <c r="A169" s="1">
        <v>40513</v>
      </c>
      <c r="B169">
        <v>32</v>
      </c>
      <c r="C169">
        <v>10</v>
      </c>
      <c r="D169">
        <v>483</v>
      </c>
      <c r="E169">
        <v>34.200000000000003</v>
      </c>
      <c r="F169" s="2">
        <v>3.3300000000000003E-2</v>
      </c>
      <c r="G169" s="3">
        <v>156</v>
      </c>
    </row>
    <row r="170" spans="1:7" x14ac:dyDescent="0.25">
      <c r="A170" s="1">
        <v>40544</v>
      </c>
      <c r="B170">
        <v>35</v>
      </c>
      <c r="C170">
        <v>23</v>
      </c>
      <c r="D170">
        <v>450</v>
      </c>
      <c r="E170">
        <v>35.200000000000003</v>
      </c>
      <c r="F170" s="2">
        <v>2.7000000000000001E-3</v>
      </c>
      <c r="G170" s="3">
        <v>158</v>
      </c>
    </row>
    <row r="171" spans="1:7" x14ac:dyDescent="0.25">
      <c r="A171" s="1">
        <v>40575</v>
      </c>
      <c r="B171">
        <v>42</v>
      </c>
      <c r="C171">
        <v>-5</v>
      </c>
      <c r="D171">
        <v>537</v>
      </c>
      <c r="E171">
        <v>46.5</v>
      </c>
      <c r="F171" s="2">
        <v>-1.55E-2</v>
      </c>
      <c r="G171" s="3">
        <v>168</v>
      </c>
    </row>
    <row r="172" spans="1:7" x14ac:dyDescent="0.25">
      <c r="A172" s="1">
        <v>40603</v>
      </c>
      <c r="B172">
        <v>36</v>
      </c>
      <c r="C172">
        <v>-2</v>
      </c>
      <c r="D172">
        <v>542</v>
      </c>
      <c r="E172">
        <v>40.5</v>
      </c>
      <c r="F172" s="2">
        <v>-7.4999999999999997E-3</v>
      </c>
      <c r="G172" s="3">
        <v>159</v>
      </c>
    </row>
    <row r="173" spans="1:7" x14ac:dyDescent="0.25">
      <c r="A173" s="1">
        <v>40634</v>
      </c>
      <c r="B173">
        <v>42</v>
      </c>
      <c r="C173">
        <v>6</v>
      </c>
      <c r="D173">
        <v>463</v>
      </c>
      <c r="E173">
        <v>41.2</v>
      </c>
      <c r="F173" s="2">
        <v>3.2300000000000002E-2</v>
      </c>
      <c r="G173" s="3">
        <v>181</v>
      </c>
    </row>
    <row r="174" spans="1:7" x14ac:dyDescent="0.25">
      <c r="A174" s="1">
        <v>40664</v>
      </c>
      <c r="B174">
        <v>50</v>
      </c>
      <c r="C174">
        <v>-8</v>
      </c>
      <c r="D174">
        <v>588</v>
      </c>
      <c r="E174">
        <v>59.1</v>
      </c>
      <c r="F174" s="2">
        <v>-6.6400000000000001E-2</v>
      </c>
      <c r="G174" s="3">
        <v>190</v>
      </c>
    </row>
    <row r="175" spans="1:7" x14ac:dyDescent="0.25">
      <c r="A175" s="1">
        <v>40695</v>
      </c>
      <c r="B175">
        <v>42</v>
      </c>
      <c r="C175">
        <v>12</v>
      </c>
      <c r="D175">
        <v>513</v>
      </c>
      <c r="E175">
        <v>51.6</v>
      </c>
      <c r="F175" s="2">
        <v>-4.9599999999999998E-2</v>
      </c>
      <c r="G175" s="3">
        <v>177</v>
      </c>
    </row>
    <row r="176" spans="1:7" x14ac:dyDescent="0.25">
      <c r="A176" s="1">
        <v>40725</v>
      </c>
      <c r="B176">
        <v>30</v>
      </c>
      <c r="C176">
        <v>3</v>
      </c>
      <c r="D176">
        <v>1055</v>
      </c>
      <c r="E176">
        <v>35.5</v>
      </c>
      <c r="F176" s="2">
        <v>-4.4400000000000002E-2</v>
      </c>
      <c r="G176" s="3">
        <v>195</v>
      </c>
    </row>
    <row r="177" spans="1:7" x14ac:dyDescent="0.25">
      <c r="A177" s="1">
        <v>40756</v>
      </c>
      <c r="B177">
        <v>43</v>
      </c>
      <c r="C177">
        <v>11</v>
      </c>
      <c r="D177">
        <v>581</v>
      </c>
      <c r="E177">
        <v>47.4</v>
      </c>
      <c r="F177" s="2">
        <v>-5.9799999999999999E-2</v>
      </c>
      <c r="G177" s="3">
        <v>160</v>
      </c>
    </row>
    <row r="178" spans="1:7" x14ac:dyDescent="0.25">
      <c r="A178" s="1">
        <v>40787</v>
      </c>
      <c r="B178">
        <v>49</v>
      </c>
      <c r="C178">
        <v>-10</v>
      </c>
      <c r="D178">
        <v>486</v>
      </c>
      <c r="E178">
        <v>49.5</v>
      </c>
      <c r="F178" s="2">
        <v>5.3699999999999998E-2</v>
      </c>
      <c r="G178" s="3">
        <v>162</v>
      </c>
    </row>
    <row r="179" spans="1:7" x14ac:dyDescent="0.25">
      <c r="A179" s="1">
        <v>40817</v>
      </c>
      <c r="B179">
        <v>31</v>
      </c>
      <c r="C179">
        <v>9</v>
      </c>
      <c r="D179">
        <v>502</v>
      </c>
      <c r="E179">
        <v>35.799999999999997</v>
      </c>
      <c r="F179" s="2">
        <v>5.5E-2</v>
      </c>
      <c r="G179" s="3">
        <v>153</v>
      </c>
    </row>
    <row r="180" spans="1:7" x14ac:dyDescent="0.25">
      <c r="A180" s="1">
        <v>40848</v>
      </c>
      <c r="B180">
        <v>31</v>
      </c>
      <c r="C180">
        <v>-7</v>
      </c>
      <c r="D180">
        <v>537</v>
      </c>
      <c r="E180">
        <v>30.4</v>
      </c>
      <c r="F180" s="2">
        <v>3.6400000000000002E-2</v>
      </c>
      <c r="G180" s="3">
        <v>162</v>
      </c>
    </row>
    <row r="181" spans="1:7" x14ac:dyDescent="0.25">
      <c r="A181" s="1">
        <v>40878</v>
      </c>
      <c r="B181">
        <v>61</v>
      </c>
      <c r="C181">
        <v>20</v>
      </c>
      <c r="D181">
        <v>518</v>
      </c>
      <c r="E181">
        <v>66</v>
      </c>
      <c r="F181" s="2">
        <v>-1.1000000000000001E-3</v>
      </c>
      <c r="G181" s="3">
        <v>186</v>
      </c>
    </row>
    <row r="182" spans="1:7" x14ac:dyDescent="0.25">
      <c r="A182" s="1">
        <v>40909</v>
      </c>
      <c r="B182">
        <v>40</v>
      </c>
      <c r="C182">
        <v>1</v>
      </c>
      <c r="D182">
        <v>560</v>
      </c>
      <c r="E182">
        <v>41.9</v>
      </c>
      <c r="F182" s="2">
        <v>-1.15E-2</v>
      </c>
      <c r="G182" s="3">
        <v>174</v>
      </c>
    </row>
    <row r="183" spans="1:7" x14ac:dyDescent="0.25">
      <c r="A183" s="1">
        <v>40940</v>
      </c>
      <c r="B183">
        <v>42</v>
      </c>
      <c r="C183">
        <v>-5</v>
      </c>
      <c r="D183">
        <v>605</v>
      </c>
      <c r="E183">
        <v>52.1</v>
      </c>
      <c r="F183" s="2">
        <v>-0.03</v>
      </c>
      <c r="G183" s="3">
        <v>165</v>
      </c>
    </row>
    <row r="184" spans="1:7" x14ac:dyDescent="0.25">
      <c r="A184" s="1">
        <v>40969</v>
      </c>
      <c r="B184">
        <v>27</v>
      </c>
      <c r="C184">
        <v>18</v>
      </c>
      <c r="D184">
        <v>489</v>
      </c>
      <c r="E184">
        <v>25.5</v>
      </c>
      <c r="F184" s="2">
        <v>4.7899999999999998E-2</v>
      </c>
      <c r="G184" s="3">
        <v>159</v>
      </c>
    </row>
    <row r="185" spans="1:7" x14ac:dyDescent="0.25">
      <c r="A185" s="1">
        <v>41000</v>
      </c>
      <c r="B185">
        <v>34</v>
      </c>
      <c r="C185">
        <v>-11</v>
      </c>
      <c r="D185">
        <v>565</v>
      </c>
      <c r="E185">
        <v>37.9</v>
      </c>
      <c r="F185" s="2">
        <v>-1.12E-2</v>
      </c>
      <c r="G185" s="3">
        <v>162</v>
      </c>
    </row>
    <row r="186" spans="1:7" x14ac:dyDescent="0.25">
      <c r="A186" s="1">
        <v>41030</v>
      </c>
      <c r="B186">
        <v>43</v>
      </c>
      <c r="C186">
        <v>6</v>
      </c>
      <c r="D186">
        <v>389</v>
      </c>
      <c r="E186">
        <v>50.4</v>
      </c>
      <c r="F186" s="2">
        <v>9.2999999999999992E-3</v>
      </c>
      <c r="G186" s="3">
        <v>168</v>
      </c>
    </row>
    <row r="187" spans="1:7" x14ac:dyDescent="0.25">
      <c r="A187" s="1">
        <v>41061</v>
      </c>
      <c r="B187">
        <v>17</v>
      </c>
      <c r="C187">
        <v>-1</v>
      </c>
      <c r="D187">
        <v>583</v>
      </c>
      <c r="E187">
        <v>23.1</v>
      </c>
      <c r="F187" s="2">
        <v>-3.4500000000000003E-2</v>
      </c>
      <c r="G187" s="3">
        <v>146</v>
      </c>
    </row>
    <row r="188" spans="1:7" x14ac:dyDescent="0.25">
      <c r="A188" s="1">
        <v>41091</v>
      </c>
      <c r="B188">
        <v>39</v>
      </c>
      <c r="C188">
        <v>6</v>
      </c>
      <c r="D188">
        <v>594</v>
      </c>
      <c r="E188">
        <v>38.799999999999997</v>
      </c>
      <c r="F188" s="2">
        <v>2.58E-2</v>
      </c>
      <c r="G188" s="3">
        <v>165</v>
      </c>
    </row>
    <row r="189" spans="1:7" x14ac:dyDescent="0.25">
      <c r="A189" s="1">
        <v>41122</v>
      </c>
      <c r="B189">
        <v>27</v>
      </c>
      <c r="C189">
        <v>8</v>
      </c>
      <c r="D189">
        <v>555</v>
      </c>
      <c r="E189">
        <v>32.6</v>
      </c>
      <c r="F189" s="2">
        <v>3.09E-2</v>
      </c>
      <c r="G189" s="3">
        <v>151</v>
      </c>
    </row>
    <row r="190" spans="1:7" x14ac:dyDescent="0.25">
      <c r="A190" s="1">
        <v>41153</v>
      </c>
      <c r="B190">
        <v>25</v>
      </c>
      <c r="C190">
        <v>-2</v>
      </c>
      <c r="D190">
        <v>465</v>
      </c>
      <c r="E190">
        <v>31.1</v>
      </c>
      <c r="F190" s="2">
        <v>8.8999999999999999E-3</v>
      </c>
      <c r="G190" s="3">
        <v>145</v>
      </c>
    </row>
    <row r="191" spans="1:7" x14ac:dyDescent="0.25">
      <c r="A191" s="1">
        <v>41183</v>
      </c>
      <c r="B191">
        <v>58</v>
      </c>
      <c r="C191">
        <v>-2</v>
      </c>
      <c r="D191">
        <v>481</v>
      </c>
      <c r="E191">
        <v>63.4</v>
      </c>
      <c r="F191" s="2">
        <v>1.6299999999999999E-2</v>
      </c>
      <c r="G191" s="3">
        <v>178</v>
      </c>
    </row>
    <row r="192" spans="1:7" x14ac:dyDescent="0.25">
      <c r="A192" s="1">
        <v>41214</v>
      </c>
      <c r="B192">
        <v>33</v>
      </c>
      <c r="C192">
        <v>-25</v>
      </c>
      <c r="D192">
        <v>498</v>
      </c>
      <c r="E192">
        <v>39.1</v>
      </c>
      <c r="F192" s="2">
        <v>2.3E-2</v>
      </c>
      <c r="G192" s="3">
        <v>166</v>
      </c>
    </row>
    <row r="193" spans="1:7" x14ac:dyDescent="0.25">
      <c r="A193" s="1">
        <v>41244</v>
      </c>
      <c r="B193">
        <v>23</v>
      </c>
      <c r="C193">
        <v>-2</v>
      </c>
      <c r="D193">
        <v>839</v>
      </c>
      <c r="E193">
        <v>26.4</v>
      </c>
      <c r="F193" s="2">
        <v>-1.7999999999999999E-2</v>
      </c>
      <c r="G193" s="3">
        <v>172</v>
      </c>
    </row>
    <row r="194" spans="1:7" x14ac:dyDescent="0.25">
      <c r="A194" s="1">
        <v>41275</v>
      </c>
      <c r="B194">
        <v>34</v>
      </c>
      <c r="C194">
        <v>15</v>
      </c>
      <c r="D194">
        <v>450</v>
      </c>
      <c r="E194">
        <v>39.799999999999997</v>
      </c>
      <c r="F194" s="2">
        <v>-3.44E-2</v>
      </c>
      <c r="G194" s="3">
        <v>149</v>
      </c>
    </row>
    <row r="195" spans="1:7" x14ac:dyDescent="0.25">
      <c r="A195" s="1">
        <v>41306</v>
      </c>
      <c r="B195">
        <v>16</v>
      </c>
      <c r="C195">
        <v>-5</v>
      </c>
      <c r="D195">
        <v>508</v>
      </c>
      <c r="E195">
        <v>16.8</v>
      </c>
      <c r="F195" s="2">
        <v>3.27E-2</v>
      </c>
      <c r="G195" s="3">
        <v>139</v>
      </c>
    </row>
    <row r="196" spans="1:7" x14ac:dyDescent="0.25">
      <c r="A196" s="1">
        <v>41334</v>
      </c>
      <c r="B196">
        <v>63</v>
      </c>
      <c r="C196">
        <v>6</v>
      </c>
      <c r="D196">
        <v>510</v>
      </c>
      <c r="E196">
        <v>69.900000000000006</v>
      </c>
      <c r="F196" s="2">
        <v>2.9499999999999998E-2</v>
      </c>
      <c r="G196" s="3">
        <v>173</v>
      </c>
    </row>
    <row r="197" spans="1:7" x14ac:dyDescent="0.25">
      <c r="A197" s="1">
        <v>41365</v>
      </c>
      <c r="B197">
        <v>27</v>
      </c>
      <c r="C197">
        <v>2</v>
      </c>
      <c r="D197">
        <v>570</v>
      </c>
      <c r="E197">
        <v>27.8</v>
      </c>
      <c r="F197" s="2">
        <v>6.3E-2</v>
      </c>
      <c r="G197" s="3">
        <v>158</v>
      </c>
    </row>
    <row r="198" spans="1:7" x14ac:dyDescent="0.25">
      <c r="A198" s="1">
        <v>41395</v>
      </c>
      <c r="B198">
        <v>32</v>
      </c>
      <c r="C198">
        <v>-16</v>
      </c>
      <c r="D198">
        <v>512</v>
      </c>
      <c r="E198">
        <v>35</v>
      </c>
      <c r="F198" s="2">
        <v>-5.8999999999999999E-3</v>
      </c>
      <c r="G198" s="3">
        <v>153</v>
      </c>
    </row>
    <row r="199" spans="1:7" x14ac:dyDescent="0.25">
      <c r="A199" s="1">
        <v>41426</v>
      </c>
      <c r="B199">
        <v>48</v>
      </c>
      <c r="C199">
        <v>-3</v>
      </c>
      <c r="D199">
        <v>524</v>
      </c>
      <c r="E199">
        <v>53.9</v>
      </c>
      <c r="F199" s="2">
        <v>3.3000000000000002E-2</v>
      </c>
      <c r="G199" s="3">
        <v>170</v>
      </c>
    </row>
    <row r="200" spans="1:7" x14ac:dyDescent="0.25">
      <c r="A200" s="1">
        <v>41456</v>
      </c>
      <c r="B200">
        <v>33</v>
      </c>
      <c r="C200">
        <v>-8</v>
      </c>
      <c r="D200">
        <v>470</v>
      </c>
      <c r="E200">
        <v>32</v>
      </c>
      <c r="F200" s="2">
        <v>3.2800000000000003E-2</v>
      </c>
      <c r="G200" s="3">
        <v>155</v>
      </c>
    </row>
    <row r="201" spans="1:7" x14ac:dyDescent="0.25">
      <c r="A201" s="1">
        <v>41487</v>
      </c>
      <c r="B201">
        <v>33</v>
      </c>
      <c r="C201">
        <v>7</v>
      </c>
      <c r="D201">
        <v>480</v>
      </c>
      <c r="E201">
        <v>38</v>
      </c>
      <c r="F201" s="2">
        <v>1.9900000000000001E-2</v>
      </c>
      <c r="G201" s="3">
        <v>154</v>
      </c>
    </row>
    <row r="202" spans="1:7" x14ac:dyDescent="0.25">
      <c r="A202" s="1">
        <v>41518</v>
      </c>
      <c r="B202">
        <v>32</v>
      </c>
      <c r="C202">
        <v>9</v>
      </c>
      <c r="D202">
        <v>530</v>
      </c>
      <c r="E202">
        <v>36.4</v>
      </c>
      <c r="F202" s="2">
        <v>3.04E-2</v>
      </c>
      <c r="G202" s="3">
        <v>158</v>
      </c>
    </row>
    <row r="203" spans="1:7" x14ac:dyDescent="0.25">
      <c r="A203" s="1">
        <v>41548</v>
      </c>
      <c r="B203">
        <v>40</v>
      </c>
      <c r="C203">
        <v>-15</v>
      </c>
      <c r="D203">
        <v>553</v>
      </c>
      <c r="E203">
        <v>50.9</v>
      </c>
      <c r="F203" s="2">
        <v>-1.29E-2</v>
      </c>
      <c r="G203" s="3">
        <v>164</v>
      </c>
    </row>
    <row r="204" spans="1:7" x14ac:dyDescent="0.25">
      <c r="A204" s="1">
        <v>41579</v>
      </c>
      <c r="B204">
        <v>52</v>
      </c>
      <c r="C204">
        <v>9</v>
      </c>
      <c r="D204">
        <v>447</v>
      </c>
      <c r="E204">
        <v>57.8</v>
      </c>
      <c r="F204" s="2">
        <v>1.1299999999999999E-2</v>
      </c>
      <c r="G204" s="3">
        <v>168</v>
      </c>
    </row>
    <row r="205" spans="1:7" x14ac:dyDescent="0.25">
      <c r="A205" s="1">
        <v>41609</v>
      </c>
      <c r="B205">
        <v>50</v>
      </c>
      <c r="C205">
        <v>9</v>
      </c>
      <c r="D205">
        <v>483</v>
      </c>
      <c r="E205">
        <v>56.2</v>
      </c>
      <c r="F205" s="2">
        <v>2.5000000000000001E-2</v>
      </c>
      <c r="G205" s="3">
        <v>173</v>
      </c>
    </row>
    <row r="206" spans="1:7" x14ac:dyDescent="0.25">
      <c r="A206" s="1">
        <v>41640</v>
      </c>
      <c r="B206">
        <v>49</v>
      </c>
      <c r="C206">
        <v>-4</v>
      </c>
      <c r="D206">
        <v>481</v>
      </c>
      <c r="E206">
        <v>55.9</v>
      </c>
      <c r="F206" s="2">
        <v>-1.2999999999999999E-3</v>
      </c>
      <c r="G206" s="3">
        <v>171</v>
      </c>
    </row>
    <row r="207" spans="1:7" x14ac:dyDescent="0.25">
      <c r="A207" s="1">
        <v>41671</v>
      </c>
      <c r="B207">
        <v>39</v>
      </c>
      <c r="C207">
        <v>-13</v>
      </c>
      <c r="D207">
        <v>464</v>
      </c>
      <c r="E207">
        <v>48.2</v>
      </c>
      <c r="F207" s="2">
        <v>7.7000000000000002E-3</v>
      </c>
      <c r="G207" s="3">
        <v>165</v>
      </c>
    </row>
    <row r="208" spans="1:7" x14ac:dyDescent="0.25">
      <c r="A208" s="1">
        <v>41699</v>
      </c>
      <c r="B208">
        <v>35</v>
      </c>
      <c r="C208">
        <v>14</v>
      </c>
      <c r="D208">
        <v>557</v>
      </c>
      <c r="E208">
        <v>39.700000000000003</v>
      </c>
      <c r="F208" s="2">
        <v>3.2000000000000002E-3</v>
      </c>
      <c r="G208" s="3">
        <v>164</v>
      </c>
    </row>
    <row r="209" spans="1:7" x14ac:dyDescent="0.25">
      <c r="A209" s="1">
        <v>41730</v>
      </c>
      <c r="B209">
        <v>52</v>
      </c>
      <c r="C209">
        <v>8</v>
      </c>
      <c r="D209">
        <v>556</v>
      </c>
      <c r="E209">
        <v>56.6</v>
      </c>
      <c r="F209" s="2">
        <v>-1.1599999999999999E-2</v>
      </c>
      <c r="G209" s="3">
        <v>171</v>
      </c>
    </row>
    <row r="210" spans="1:7" x14ac:dyDescent="0.25">
      <c r="A210" s="1">
        <v>41760</v>
      </c>
      <c r="B210">
        <v>39</v>
      </c>
      <c r="C210">
        <v>0</v>
      </c>
      <c r="D210">
        <v>533</v>
      </c>
      <c r="E210">
        <v>44.7</v>
      </c>
      <c r="F210" s="2">
        <v>0.02</v>
      </c>
      <c r="G210" s="3">
        <v>173</v>
      </c>
    </row>
    <row r="211" spans="1:7" x14ac:dyDescent="0.25">
      <c r="A211" s="1">
        <v>41791</v>
      </c>
      <c r="B211">
        <v>28</v>
      </c>
      <c r="C211">
        <v>-2</v>
      </c>
      <c r="D211">
        <v>429</v>
      </c>
      <c r="E211">
        <v>38</v>
      </c>
      <c r="F211" s="2">
        <v>-3.1899999999999998E-2</v>
      </c>
      <c r="G211" s="3">
        <v>158</v>
      </c>
    </row>
    <row r="212" spans="1:7" x14ac:dyDescent="0.25">
      <c r="A212" s="1">
        <v>41821</v>
      </c>
      <c r="B212">
        <v>33</v>
      </c>
      <c r="C212">
        <v>3</v>
      </c>
      <c r="D212">
        <v>505</v>
      </c>
      <c r="E212">
        <v>39.700000000000003</v>
      </c>
      <c r="F212" s="2">
        <v>-3.7600000000000001E-2</v>
      </c>
      <c r="G212" s="3">
        <v>157</v>
      </c>
    </row>
    <row r="213" spans="1:7" x14ac:dyDescent="0.25">
      <c r="A213" s="1">
        <v>41852</v>
      </c>
      <c r="B213">
        <v>23</v>
      </c>
      <c r="C213">
        <v>15</v>
      </c>
      <c r="D213">
        <v>442</v>
      </c>
      <c r="E213">
        <v>25.5</v>
      </c>
      <c r="F213" s="2">
        <v>1.35E-2</v>
      </c>
      <c r="G213" s="3">
        <v>154</v>
      </c>
    </row>
    <row r="214" spans="1:7" x14ac:dyDescent="0.25">
      <c r="A214" s="1">
        <v>41883</v>
      </c>
      <c r="B214">
        <v>43</v>
      </c>
      <c r="C214">
        <v>-7</v>
      </c>
      <c r="D214">
        <v>490</v>
      </c>
      <c r="E214">
        <v>45.8</v>
      </c>
      <c r="F214" s="2">
        <v>-2.7900000000000001E-2</v>
      </c>
      <c r="G214" s="3">
        <v>170</v>
      </c>
    </row>
    <row r="215" spans="1:7" x14ac:dyDescent="0.25">
      <c r="A215" s="1">
        <v>41913</v>
      </c>
      <c r="B215">
        <v>34</v>
      </c>
      <c r="C215">
        <v>-2</v>
      </c>
      <c r="D215">
        <v>487</v>
      </c>
      <c r="E215">
        <v>38.5</v>
      </c>
      <c r="F215" s="2">
        <v>-1.0999999999999999E-2</v>
      </c>
      <c r="G215" s="3">
        <v>167</v>
      </c>
    </row>
    <row r="216" spans="1:7" x14ac:dyDescent="0.25">
      <c r="A216" s="1">
        <v>41944</v>
      </c>
      <c r="B216">
        <v>31</v>
      </c>
      <c r="C216">
        <v>9</v>
      </c>
      <c r="D216">
        <v>380</v>
      </c>
      <c r="E216">
        <v>42.8</v>
      </c>
      <c r="F216" s="2">
        <v>-5.5199999999999999E-2</v>
      </c>
      <c r="G216" s="3">
        <v>157</v>
      </c>
    </row>
    <row r="217" spans="1:7" x14ac:dyDescent="0.25">
      <c r="A217" s="1">
        <v>41974</v>
      </c>
      <c r="B217">
        <v>32</v>
      </c>
      <c r="C217">
        <v>-3</v>
      </c>
      <c r="D217">
        <v>472</v>
      </c>
      <c r="E217">
        <v>43.6</v>
      </c>
      <c r="F217" s="2">
        <v>-4.2999999999999997E-2</v>
      </c>
      <c r="G217" s="3">
        <v>152</v>
      </c>
    </row>
    <row r="218" spans="1:7" x14ac:dyDescent="0.25">
      <c r="A218" s="1">
        <v>42005</v>
      </c>
      <c r="B218">
        <v>38</v>
      </c>
      <c r="C218">
        <v>-13</v>
      </c>
      <c r="D218">
        <v>525</v>
      </c>
      <c r="E218">
        <v>42.9</v>
      </c>
      <c r="F218" s="2">
        <v>2.1999999999999999E-2</v>
      </c>
      <c r="G218" s="3">
        <v>164</v>
      </c>
    </row>
    <row r="219" spans="1:7" x14ac:dyDescent="0.25">
      <c r="A219" s="1">
        <v>42036</v>
      </c>
      <c r="B219">
        <v>28</v>
      </c>
      <c r="C219">
        <v>-1</v>
      </c>
      <c r="D219">
        <v>573</v>
      </c>
      <c r="E219">
        <v>32.299999999999997</v>
      </c>
      <c r="F219" s="2">
        <v>2.07E-2</v>
      </c>
      <c r="G219" s="3">
        <v>151</v>
      </c>
    </row>
    <row r="220" spans="1:7" x14ac:dyDescent="0.25">
      <c r="A220" s="1">
        <v>42064</v>
      </c>
      <c r="B220">
        <v>35</v>
      </c>
      <c r="C220">
        <v>-19</v>
      </c>
      <c r="D220">
        <v>523</v>
      </c>
      <c r="E220">
        <v>37.5</v>
      </c>
      <c r="F220" s="2">
        <v>5.0500000000000003E-2</v>
      </c>
      <c r="G220" s="3">
        <v>150</v>
      </c>
    </row>
    <row r="221" spans="1:7" x14ac:dyDescent="0.25">
      <c r="A221" s="1">
        <v>42095</v>
      </c>
      <c r="B221">
        <v>34</v>
      </c>
      <c r="C221">
        <v>-1</v>
      </c>
      <c r="D221">
        <v>633</v>
      </c>
      <c r="E221">
        <v>30.5</v>
      </c>
      <c r="F221" s="2">
        <v>5.2499999999999998E-2</v>
      </c>
      <c r="G221" s="3">
        <v>147</v>
      </c>
    </row>
    <row r="222" spans="1:7" x14ac:dyDescent="0.25">
      <c r="A222" s="1">
        <v>42125</v>
      </c>
      <c r="B222">
        <v>49</v>
      </c>
      <c r="C222">
        <v>-9</v>
      </c>
      <c r="D222">
        <v>556</v>
      </c>
      <c r="E222">
        <v>50.3</v>
      </c>
      <c r="F222" s="2">
        <v>7.9100000000000004E-2</v>
      </c>
      <c r="G222" s="3">
        <v>167</v>
      </c>
    </row>
    <row r="223" spans="1:7" x14ac:dyDescent="0.25">
      <c r="A223" s="1">
        <v>42156</v>
      </c>
      <c r="B223">
        <v>51</v>
      </c>
      <c r="C223">
        <v>-23</v>
      </c>
      <c r="D223">
        <v>513</v>
      </c>
      <c r="E223">
        <v>55.1</v>
      </c>
      <c r="F223" s="2">
        <v>5.5399999999999998E-2</v>
      </c>
      <c r="G223" s="3">
        <v>179</v>
      </c>
    </row>
    <row r="224" spans="1:7" x14ac:dyDescent="0.25">
      <c r="A224" s="1">
        <v>42186</v>
      </c>
      <c r="B224">
        <v>19</v>
      </c>
      <c r="C224">
        <v>-11</v>
      </c>
      <c r="D224">
        <v>428</v>
      </c>
      <c r="E224">
        <v>18.3</v>
      </c>
      <c r="F224" s="2">
        <v>1.5800000000000002E-2</v>
      </c>
      <c r="G224" s="3">
        <v>146</v>
      </c>
    </row>
    <row r="225" spans="1:7" x14ac:dyDescent="0.25">
      <c r="A225" s="1">
        <v>42217</v>
      </c>
      <c r="B225">
        <v>30</v>
      </c>
      <c r="C225">
        <v>6</v>
      </c>
      <c r="D225">
        <v>449</v>
      </c>
      <c r="E225">
        <v>32.5</v>
      </c>
      <c r="F225" s="2">
        <v>-1.3299999999999999E-2</v>
      </c>
      <c r="G225" s="3">
        <v>157</v>
      </c>
    </row>
    <row r="226" spans="1:7" x14ac:dyDescent="0.25">
      <c r="A226" s="1">
        <v>42248</v>
      </c>
      <c r="B226">
        <v>26</v>
      </c>
      <c r="C226">
        <v>8</v>
      </c>
      <c r="D226">
        <v>526</v>
      </c>
      <c r="E226">
        <v>31.2</v>
      </c>
      <c r="F226" s="2">
        <v>-1.52E-2</v>
      </c>
      <c r="G226" s="3">
        <v>148</v>
      </c>
    </row>
    <row r="227" spans="1:7" x14ac:dyDescent="0.25">
      <c r="A227" s="1">
        <v>42278</v>
      </c>
      <c r="B227">
        <v>18</v>
      </c>
      <c r="C227">
        <v>-11</v>
      </c>
      <c r="D227">
        <v>227</v>
      </c>
      <c r="E227">
        <v>23.7</v>
      </c>
      <c r="F227" s="2">
        <v>1.5100000000000001E-2</v>
      </c>
      <c r="G227" s="3">
        <v>114</v>
      </c>
    </row>
    <row r="228" spans="1:7" x14ac:dyDescent="0.25">
      <c r="A228" s="1">
        <v>42309</v>
      </c>
      <c r="B228">
        <v>26</v>
      </c>
      <c r="C228">
        <v>4</v>
      </c>
      <c r="D228">
        <v>491</v>
      </c>
      <c r="E228">
        <v>23.5</v>
      </c>
      <c r="F228" s="2">
        <v>7.3800000000000004E-2</v>
      </c>
      <c r="G228" s="3">
        <v>144</v>
      </c>
    </row>
    <row r="229" spans="1:7" x14ac:dyDescent="0.25">
      <c r="A229" s="1">
        <v>42339</v>
      </c>
      <c r="B229">
        <v>29</v>
      </c>
      <c r="C229">
        <v>1</v>
      </c>
      <c r="D229">
        <v>557</v>
      </c>
      <c r="E229">
        <v>35.5</v>
      </c>
      <c r="F229" s="2">
        <v>2.86E-2</v>
      </c>
      <c r="G229" s="3">
        <v>157</v>
      </c>
    </row>
    <row r="230" spans="1:7" x14ac:dyDescent="0.25">
      <c r="A230" s="1">
        <v>42370</v>
      </c>
      <c r="B230">
        <v>37</v>
      </c>
      <c r="C230">
        <v>-16</v>
      </c>
      <c r="D230">
        <v>605</v>
      </c>
      <c r="E230">
        <v>44.5</v>
      </c>
      <c r="F230" s="2">
        <v>1.38E-2</v>
      </c>
      <c r="G230" s="3">
        <v>164</v>
      </c>
    </row>
    <row r="231" spans="1:7" x14ac:dyDescent="0.25">
      <c r="A231" s="1">
        <v>42401</v>
      </c>
      <c r="B231">
        <v>4</v>
      </c>
      <c r="C231">
        <v>3</v>
      </c>
      <c r="D231">
        <v>583</v>
      </c>
      <c r="E231">
        <v>9.4</v>
      </c>
      <c r="F231" s="2">
        <v>-1.6999999999999999E-3</v>
      </c>
      <c r="G231" s="3">
        <v>123</v>
      </c>
    </row>
    <row r="232" spans="1:7" x14ac:dyDescent="0.25">
      <c r="A232" s="1">
        <v>42430</v>
      </c>
      <c r="B232">
        <v>21</v>
      </c>
      <c r="C232">
        <v>-1</v>
      </c>
      <c r="D232">
        <v>510</v>
      </c>
      <c r="E232">
        <v>26.8</v>
      </c>
      <c r="F232" s="2">
        <v>3.7499999999999999E-2</v>
      </c>
      <c r="G232" s="3">
        <v>133</v>
      </c>
    </row>
    <row r="233" spans="1:7" x14ac:dyDescent="0.25">
      <c r="A233" s="1">
        <v>42461</v>
      </c>
      <c r="B233">
        <v>38</v>
      </c>
      <c r="C233">
        <v>-8</v>
      </c>
      <c r="D233">
        <v>534</v>
      </c>
      <c r="E233">
        <v>38.1</v>
      </c>
      <c r="F233" s="2">
        <v>7.3899999999999993E-2</v>
      </c>
      <c r="G233" s="3">
        <v>153</v>
      </c>
    </row>
    <row r="234" spans="1:7" x14ac:dyDescent="0.25">
      <c r="A234" s="1">
        <v>42491</v>
      </c>
      <c r="B234">
        <v>50</v>
      </c>
      <c r="C234">
        <v>22</v>
      </c>
      <c r="D234">
        <v>565</v>
      </c>
      <c r="E234">
        <v>49.9</v>
      </c>
      <c r="F234" s="2">
        <v>6.6000000000000003E-2</v>
      </c>
      <c r="G234" s="3">
        <v>161</v>
      </c>
    </row>
    <row r="235" spans="1:7" x14ac:dyDescent="0.25">
      <c r="A235" s="1">
        <v>42522</v>
      </c>
      <c r="B235">
        <v>48</v>
      </c>
      <c r="C235">
        <v>19</v>
      </c>
      <c r="D235">
        <v>462</v>
      </c>
      <c r="E235">
        <v>47.4</v>
      </c>
      <c r="F235" s="2">
        <v>9.2499999999999999E-2</v>
      </c>
      <c r="G235" s="3">
        <v>172</v>
      </c>
    </row>
    <row r="236" spans="1:7" x14ac:dyDescent="0.25">
      <c r="A236" s="1">
        <v>42552</v>
      </c>
      <c r="B236">
        <v>39</v>
      </c>
      <c r="C236">
        <v>-11</v>
      </c>
      <c r="D236">
        <v>454</v>
      </c>
      <c r="E236">
        <v>41.2</v>
      </c>
      <c r="F236" s="2">
        <v>-1.61E-2</v>
      </c>
      <c r="G236" s="3">
        <v>159</v>
      </c>
    </row>
    <row r="237" spans="1:7" x14ac:dyDescent="0.25">
      <c r="A237" s="1">
        <v>42583</v>
      </c>
      <c r="B237">
        <v>34</v>
      </c>
      <c r="C237">
        <v>-8</v>
      </c>
      <c r="D237">
        <v>347</v>
      </c>
      <c r="E237">
        <v>40</v>
      </c>
      <c r="F237" s="2">
        <v>1.2200000000000001E-2</v>
      </c>
      <c r="G237" s="3">
        <v>164</v>
      </c>
    </row>
    <row r="238" spans="1:7" x14ac:dyDescent="0.25">
      <c r="A238" s="1">
        <v>42614</v>
      </c>
      <c r="B238">
        <v>48</v>
      </c>
      <c r="C238">
        <v>7</v>
      </c>
      <c r="D238">
        <v>514</v>
      </c>
      <c r="E238">
        <v>54.9</v>
      </c>
      <c r="F238" s="2">
        <v>-4.3700000000000003E-2</v>
      </c>
      <c r="G238" s="3">
        <v>169</v>
      </c>
    </row>
    <row r="239" spans="1:7" x14ac:dyDescent="0.25">
      <c r="A239" s="1">
        <v>42644</v>
      </c>
      <c r="B239">
        <v>38</v>
      </c>
      <c r="C239">
        <v>10</v>
      </c>
      <c r="D239">
        <v>510</v>
      </c>
      <c r="E239">
        <v>36.299999999999997</v>
      </c>
      <c r="F239" s="2">
        <v>3.0700000000000002E-2</v>
      </c>
      <c r="G239" s="3">
        <v>167</v>
      </c>
    </row>
    <row r="240" spans="1:7" x14ac:dyDescent="0.25">
      <c r="A240" s="1">
        <v>42675</v>
      </c>
      <c r="B240">
        <v>47</v>
      </c>
      <c r="C240">
        <v>5</v>
      </c>
      <c r="D240">
        <v>520</v>
      </c>
      <c r="E240">
        <v>53.5</v>
      </c>
      <c r="F240" s="2">
        <v>6.8999999999999999E-3</v>
      </c>
      <c r="G240" s="3">
        <v>183</v>
      </c>
    </row>
    <row r="241" spans="1:7" x14ac:dyDescent="0.25">
      <c r="A241" s="1">
        <v>42705</v>
      </c>
      <c r="B241">
        <v>47</v>
      </c>
      <c r="C241">
        <v>-18</v>
      </c>
      <c r="D241">
        <v>439</v>
      </c>
      <c r="E241">
        <v>50.8</v>
      </c>
      <c r="F241" s="2">
        <v>-3.4000000000000002E-2</v>
      </c>
      <c r="G241" s="3">
        <v>187</v>
      </c>
    </row>
    <row r="242" spans="1:7" x14ac:dyDescent="0.25">
      <c r="A242" s="1">
        <v>42736</v>
      </c>
      <c r="B242">
        <v>37</v>
      </c>
      <c r="C242">
        <v>13</v>
      </c>
      <c r="D242">
        <v>451</v>
      </c>
      <c r="E242">
        <v>42.6</v>
      </c>
      <c r="F242" s="2">
        <v>-6.1400000000000003E-2</v>
      </c>
      <c r="G242" s="3">
        <v>174</v>
      </c>
    </row>
    <row r="243" spans="1:7" x14ac:dyDescent="0.25">
      <c r="A243" s="1">
        <v>42767</v>
      </c>
      <c r="B243">
        <v>34</v>
      </c>
      <c r="C243">
        <v>-10</v>
      </c>
      <c r="D243">
        <v>491</v>
      </c>
      <c r="E243">
        <v>46.7</v>
      </c>
      <c r="F243" s="2">
        <v>-4.5100000000000001E-2</v>
      </c>
      <c r="G243" s="3">
        <v>168</v>
      </c>
    </row>
    <row r="244" spans="1:7" x14ac:dyDescent="0.25">
      <c r="A244" s="1">
        <v>42795</v>
      </c>
      <c r="B244">
        <v>46</v>
      </c>
      <c r="C244">
        <v>2</v>
      </c>
      <c r="D244">
        <v>499</v>
      </c>
      <c r="E244">
        <v>58.8</v>
      </c>
      <c r="F244" s="2">
        <v>-4.53E-2</v>
      </c>
      <c r="G244" s="3">
        <v>176</v>
      </c>
    </row>
    <row r="245" spans="1:7" x14ac:dyDescent="0.25">
      <c r="A245" s="1">
        <v>42826</v>
      </c>
      <c r="B245">
        <v>28</v>
      </c>
      <c r="C245">
        <v>8</v>
      </c>
      <c r="D245">
        <v>446</v>
      </c>
      <c r="E245">
        <v>37.4</v>
      </c>
      <c r="F245" s="2">
        <v>-3.6200000000000003E-2</v>
      </c>
      <c r="G245" s="3">
        <v>164</v>
      </c>
    </row>
    <row r="246" spans="1:7" x14ac:dyDescent="0.25">
      <c r="A246" s="1">
        <v>42856</v>
      </c>
      <c r="B246">
        <v>41</v>
      </c>
      <c r="C246">
        <v>0</v>
      </c>
      <c r="D246">
        <v>535</v>
      </c>
      <c r="E246">
        <v>44.9</v>
      </c>
      <c r="F246" s="2">
        <v>-3.9100000000000003E-2</v>
      </c>
      <c r="G246" s="3">
        <v>179</v>
      </c>
    </row>
    <row r="247" spans="1:7" x14ac:dyDescent="0.25">
      <c r="A247" s="1">
        <v>42887</v>
      </c>
      <c r="B247">
        <v>41</v>
      </c>
      <c r="C247">
        <v>21</v>
      </c>
      <c r="D247">
        <v>555</v>
      </c>
      <c r="E247">
        <v>50.8</v>
      </c>
      <c r="F247" s="2">
        <v>-3.4000000000000002E-2</v>
      </c>
      <c r="G247" s="3"/>
    </row>
    <row r="248" spans="1:7" x14ac:dyDescent="0.25">
      <c r="A248" s="1">
        <v>42917</v>
      </c>
      <c r="B248">
        <v>36</v>
      </c>
      <c r="C248">
        <v>-6</v>
      </c>
      <c r="D248">
        <v>516</v>
      </c>
      <c r="E248">
        <v>41.6</v>
      </c>
      <c r="F248" s="2">
        <v>-6.8999999999999999E-3</v>
      </c>
      <c r="G248" s="3"/>
    </row>
    <row r="249" spans="1:7" x14ac:dyDescent="0.25">
      <c r="A249" s="1">
        <v>42948</v>
      </c>
      <c r="B249">
        <v>35</v>
      </c>
      <c r="C249">
        <v>0</v>
      </c>
      <c r="D249">
        <v>528</v>
      </c>
      <c r="E249">
        <v>39.799999999999997</v>
      </c>
      <c r="F249" s="2">
        <v>5.0000000000000001E-3</v>
      </c>
      <c r="G249" s="3"/>
    </row>
    <row r="250" spans="1:7" x14ac:dyDescent="0.25">
      <c r="A250" s="1">
        <v>42979</v>
      </c>
      <c r="B250">
        <v>46</v>
      </c>
      <c r="C250">
        <v>-2</v>
      </c>
      <c r="D250">
        <v>397</v>
      </c>
      <c r="E250">
        <v>49.2</v>
      </c>
      <c r="F250" s="2">
        <v>-2.12E-2</v>
      </c>
      <c r="G250" s="3"/>
    </row>
    <row r="251" spans="1:7" x14ac:dyDescent="0.25">
      <c r="A251" s="1">
        <v>43009</v>
      </c>
      <c r="B251">
        <v>27</v>
      </c>
      <c r="C251">
        <v>20</v>
      </c>
      <c r="D251">
        <v>451</v>
      </c>
      <c r="E251">
        <v>27</v>
      </c>
      <c r="F251" s="2">
        <v>1.78E-2</v>
      </c>
      <c r="G251" s="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O31"/>
  <sheetViews>
    <sheetView showGridLines="0" showRowColHeaders="0" zoomScaleNormal="100" workbookViewId="0">
      <pane xSplit="1" topLeftCell="B1" activePane="topRight" state="frozenSplit"/>
      <selection pane="topRight"/>
    </sheetView>
  </sheetViews>
  <sheetFormatPr defaultRowHeight="12" customHeight="1" outlineLevelRow="1" x14ac:dyDescent="0.2"/>
  <cols>
    <col min="1" max="1" width="17.7109375" style="4" customWidth="1"/>
    <col min="2" max="10" width="9.7109375" style="4" customWidth="1"/>
    <col min="11" max="300" width="9.140625" style="4"/>
    <col min="301" max="301" width="74.42578125" style="4" bestFit="1" customWidth="1"/>
    <col min="302" max="16384" width="9.140625" style="4"/>
  </cols>
  <sheetData>
    <row r="1" spans="1:301" ht="12" customHeight="1" x14ac:dyDescent="0.25">
      <c r="A1" s="5" t="s">
        <v>7</v>
      </c>
      <c r="B1" s="4" t="s">
        <v>34</v>
      </c>
      <c r="M1" s="13" t="s">
        <v>129</v>
      </c>
      <c r="N1" s="13" t="s">
        <v>130</v>
      </c>
      <c r="T1" s="14" t="s">
        <v>24</v>
      </c>
      <c r="U1" s="13" t="s">
        <v>136</v>
      </c>
      <c r="W1" s="13" t="s">
        <v>35</v>
      </c>
      <c r="X1" s="13">
        <v>10</v>
      </c>
      <c r="Z1" s="19" t="s">
        <v>33</v>
      </c>
      <c r="JV1"/>
      <c r="KO1" s="18" t="s">
        <v>33</v>
      </c>
    </row>
    <row r="2" spans="1:301" ht="12" customHeight="1" outlineLevel="1" thickBot="1" x14ac:dyDescent="0.25">
      <c r="A2" s="7" t="s">
        <v>8</v>
      </c>
      <c r="B2" s="7" t="s">
        <v>9</v>
      </c>
      <c r="C2" s="7" t="s">
        <v>10</v>
      </c>
      <c r="D2" s="7" t="s">
        <v>11</v>
      </c>
      <c r="E2" s="7" t="s">
        <v>12</v>
      </c>
      <c r="F2" s="7" t="s">
        <v>13</v>
      </c>
      <c r="G2" s="7" t="s">
        <v>14</v>
      </c>
      <c r="H2" s="7" t="s">
        <v>15</v>
      </c>
      <c r="I2" s="7" t="s">
        <v>16</v>
      </c>
      <c r="J2" s="7" t="s">
        <v>17</v>
      </c>
      <c r="K2" s="7" t="s">
        <v>18</v>
      </c>
    </row>
    <row r="3" spans="1:301" ht="12" customHeight="1" outlineLevel="1" x14ac:dyDescent="0.2">
      <c r="A3" s="9" t="s">
        <v>6</v>
      </c>
      <c r="B3" s="10">
        <v>245</v>
      </c>
      <c r="C3" s="4">
        <v>161.77142857142857</v>
      </c>
      <c r="D3" s="4">
        <v>162</v>
      </c>
      <c r="E3" s="4">
        <v>12.979681473269713</v>
      </c>
      <c r="F3" s="4">
        <v>162.28918507354928</v>
      </c>
      <c r="G3" s="4">
        <v>0.8292414314435913</v>
      </c>
      <c r="H3" s="4">
        <v>114</v>
      </c>
      <c r="I3" s="4">
        <v>203</v>
      </c>
      <c r="J3" s="4">
        <v>-0.26186801023110318</v>
      </c>
      <c r="K3" s="4">
        <v>1.1650110348296372</v>
      </c>
    </row>
    <row r="4" spans="1:301" ht="12" customHeight="1" outlineLevel="1" x14ac:dyDescent="0.2">
      <c r="A4" s="9" t="s">
        <v>1</v>
      </c>
      <c r="B4" s="10">
        <v>245</v>
      </c>
      <c r="C4" s="4">
        <v>35.991836734693877</v>
      </c>
      <c r="D4" s="4">
        <v>36</v>
      </c>
      <c r="E4" s="4">
        <v>10.164221981923919</v>
      </c>
      <c r="F4" s="4">
        <v>37.393877049810264</v>
      </c>
      <c r="G4" s="4">
        <v>0.64936832257084343</v>
      </c>
      <c r="H4" s="4">
        <v>4</v>
      </c>
      <c r="I4" s="4">
        <v>66</v>
      </c>
      <c r="J4" s="4">
        <v>-0.12115417074537189</v>
      </c>
      <c r="K4" s="4">
        <v>0.27327856299798681</v>
      </c>
    </row>
    <row r="5" spans="1:301" ht="12" customHeight="1" outlineLevel="1" x14ac:dyDescent="0.2">
      <c r="A5" s="9" t="s">
        <v>2</v>
      </c>
      <c r="B5" s="10">
        <v>245</v>
      </c>
      <c r="C5" s="4">
        <v>1.2244897959183674</v>
      </c>
      <c r="D5" s="4">
        <v>1</v>
      </c>
      <c r="E5" s="4">
        <v>10.059791140570645</v>
      </c>
      <c r="F5" s="4">
        <v>10.113640011673061</v>
      </c>
      <c r="G5" s="4">
        <v>0.64269648085046016</v>
      </c>
      <c r="H5" s="4">
        <v>-25</v>
      </c>
      <c r="I5" s="4">
        <v>28</v>
      </c>
      <c r="J5" s="4">
        <v>1.4151111628164837E-2</v>
      </c>
      <c r="K5" s="4">
        <v>-0.23005316656379859</v>
      </c>
    </row>
    <row r="6" spans="1:301" ht="12" customHeight="1" outlineLevel="1" x14ac:dyDescent="0.2">
      <c r="A6" s="9" t="s">
        <v>3</v>
      </c>
      <c r="B6" s="10">
        <v>245</v>
      </c>
      <c r="C6" s="4">
        <v>506.43673469387755</v>
      </c>
      <c r="D6" s="4">
        <v>507</v>
      </c>
      <c r="E6" s="4">
        <v>101.24354400359965</v>
      </c>
      <c r="F6" s="4">
        <v>516.41706369316398</v>
      </c>
      <c r="G6" s="4">
        <v>6.4682127621440006</v>
      </c>
      <c r="H6" s="4">
        <v>-85</v>
      </c>
      <c r="I6" s="11">
        <v>1055</v>
      </c>
      <c r="J6" s="4">
        <v>0.62099720259154845</v>
      </c>
      <c r="K6" s="4">
        <v>13.841498795237154</v>
      </c>
    </row>
    <row r="7" spans="1:301" ht="12" customHeight="1" outlineLevel="1" x14ac:dyDescent="0.2">
      <c r="A7" s="9" t="s">
        <v>4</v>
      </c>
      <c r="B7" s="10">
        <v>245</v>
      </c>
      <c r="C7" s="4">
        <v>40.934693877550991</v>
      </c>
      <c r="D7" s="4">
        <v>40.700000000000003</v>
      </c>
      <c r="E7" s="4">
        <v>10.937099426302463</v>
      </c>
      <c r="F7" s="4">
        <v>42.364856440503729</v>
      </c>
      <c r="G7" s="4">
        <v>0.6987456512538931</v>
      </c>
      <c r="H7" s="4">
        <v>9.4</v>
      </c>
      <c r="I7" s="4">
        <v>69.900000000000006</v>
      </c>
      <c r="J7" s="4">
        <v>-2.621516002361033E-2</v>
      </c>
      <c r="K7" s="4">
        <v>-0.13423730567897163</v>
      </c>
    </row>
    <row r="8" spans="1:301" ht="12" customHeight="1" outlineLevel="1" x14ac:dyDescent="0.2">
      <c r="A8" s="9" t="s">
        <v>5</v>
      </c>
      <c r="B8" s="10">
        <v>245</v>
      </c>
      <c r="C8" s="12">
        <v>6.3918367346938679E-4</v>
      </c>
      <c r="D8" s="12">
        <v>4.0000000000000001E-3</v>
      </c>
      <c r="E8" s="4">
        <v>3.5470797492313542E-2</v>
      </c>
      <c r="F8" s="4">
        <v>3.5404104454778949E-2</v>
      </c>
      <c r="G8" s="12">
        <v>2.2661461259697755E-3</v>
      </c>
      <c r="H8" s="4">
        <v>-9.9599999999999994E-2</v>
      </c>
      <c r="I8" s="4">
        <v>9.2499999999999999E-2</v>
      </c>
      <c r="J8" s="4">
        <v>-0.25073856962576868</v>
      </c>
      <c r="K8" s="4">
        <v>-0.25201034918796239</v>
      </c>
    </row>
    <row r="9" spans="1:301" ht="12" customHeight="1" x14ac:dyDescent="0.2">
      <c r="A9" s="17"/>
    </row>
    <row r="10" spans="1:301" ht="12" customHeight="1" x14ac:dyDescent="0.2">
      <c r="A10" s="5" t="s">
        <v>19</v>
      </c>
    </row>
    <row r="11" spans="1:301" ht="12" customHeight="1" outlineLevel="1" thickBot="1" x14ac:dyDescent="0.25">
      <c r="A11" s="7" t="s">
        <v>8</v>
      </c>
      <c r="B11" s="7" t="s">
        <v>20</v>
      </c>
      <c r="C11" s="7" t="s">
        <v>21</v>
      </c>
      <c r="D11" s="7" t="s">
        <v>22</v>
      </c>
      <c r="E11" s="7" t="s">
        <v>23</v>
      </c>
    </row>
    <row r="12" spans="1:301" ht="12" customHeight="1" outlineLevel="1" x14ac:dyDescent="0.2">
      <c r="A12" s="6" t="s">
        <v>6</v>
      </c>
      <c r="B12" s="74">
        <v>0.33026273564072994</v>
      </c>
      <c r="C12" s="74">
        <v>0.14822175250296307</v>
      </c>
      <c r="D12" s="74">
        <v>0.11837378108646565</v>
      </c>
      <c r="E12" s="74">
        <v>0.12064600828654692</v>
      </c>
    </row>
    <row r="13" spans="1:301" ht="12" customHeight="1" outlineLevel="1" x14ac:dyDescent="0.2">
      <c r="A13" s="6" t="s">
        <v>1</v>
      </c>
      <c r="B13" s="74">
        <v>3.9829620494943534E-2</v>
      </c>
      <c r="C13" s="74">
        <v>4.9311064934228648E-2</v>
      </c>
      <c r="D13" s="74">
        <v>4.9033048651967101E-2</v>
      </c>
      <c r="E13" s="74">
        <v>6.3354877316787503E-2</v>
      </c>
    </row>
    <row r="14" spans="1:301" ht="12" customHeight="1" outlineLevel="1" x14ac:dyDescent="0.2">
      <c r="A14" s="6" t="s">
        <v>2</v>
      </c>
      <c r="B14" s="74">
        <v>-2.7702588052097694E-2</v>
      </c>
      <c r="C14" s="74">
        <v>3.8387904544431861E-2</v>
      </c>
      <c r="D14" s="74">
        <v>7.3995893876336635E-2</v>
      </c>
      <c r="E14" s="74">
        <v>-4.5178172100286407E-2</v>
      </c>
    </row>
    <row r="15" spans="1:301" ht="12" customHeight="1" outlineLevel="1" x14ac:dyDescent="0.2">
      <c r="A15" s="6" t="s">
        <v>3</v>
      </c>
      <c r="B15" s="74">
        <v>-1.5321766773679633E-2</v>
      </c>
      <c r="C15" s="74">
        <v>1.2473388187199105E-2</v>
      </c>
      <c r="D15" s="74">
        <v>-5.9308907253666124E-2</v>
      </c>
      <c r="E15" s="74">
        <v>1.3461935556001517E-2</v>
      </c>
    </row>
    <row r="16" spans="1:301" ht="12" customHeight="1" outlineLevel="1" x14ac:dyDescent="0.2">
      <c r="A16" s="6" t="s">
        <v>4</v>
      </c>
      <c r="B16" s="74">
        <v>2.4009081706201731E-2</v>
      </c>
      <c r="C16" s="74">
        <v>0.10036145702267504</v>
      </c>
      <c r="D16" s="74">
        <v>6.5857847123764843E-2</v>
      </c>
      <c r="E16" s="74">
        <v>0.14227638201680104</v>
      </c>
    </row>
    <row r="17" spans="1:7" ht="12" customHeight="1" outlineLevel="1" x14ac:dyDescent="0.2">
      <c r="A17" s="6" t="s">
        <v>5</v>
      </c>
      <c r="B17" s="74">
        <v>0.36257983106677116</v>
      </c>
      <c r="C17" s="74">
        <v>0.17318735212541839</v>
      </c>
      <c r="D17" s="74">
        <v>-2.2455592966786429E-2</v>
      </c>
      <c r="E17" s="74">
        <v>6.0716815311918734E-2</v>
      </c>
    </row>
    <row r="18" spans="1:7" ht="12" customHeight="1" x14ac:dyDescent="0.2">
      <c r="A18" s="17"/>
    </row>
    <row r="19" spans="1:7" ht="12" customHeight="1" x14ac:dyDescent="0.2">
      <c r="A19" s="5" t="s">
        <v>25</v>
      </c>
    </row>
    <row r="20" spans="1:7" ht="12" customHeight="1" outlineLevel="1" thickBot="1" x14ac:dyDescent="0.25">
      <c r="A20" s="7" t="s">
        <v>8</v>
      </c>
      <c r="B20" s="8" t="s">
        <v>26</v>
      </c>
    </row>
    <row r="21" spans="1:7" ht="12" customHeight="1" outlineLevel="1" thickBot="1" x14ac:dyDescent="0.25">
      <c r="A21" s="6" t="s">
        <v>6</v>
      </c>
      <c r="B21" s="15">
        <v>1</v>
      </c>
      <c r="C21" s="16" t="s">
        <v>27</v>
      </c>
    </row>
    <row r="22" spans="1:7" ht="12" customHeight="1" outlineLevel="1" thickBot="1" x14ac:dyDescent="0.25">
      <c r="A22" s="6" t="s">
        <v>1</v>
      </c>
      <c r="B22" s="74">
        <v>0.70348482491699826</v>
      </c>
      <c r="C22" s="15">
        <v>1</v>
      </c>
      <c r="D22" s="16" t="s">
        <v>28</v>
      </c>
    </row>
    <row r="23" spans="1:7" ht="12" customHeight="1" outlineLevel="1" thickBot="1" x14ac:dyDescent="0.25">
      <c r="A23" s="6" t="s">
        <v>2</v>
      </c>
      <c r="B23" s="74">
        <v>-1.7276594648682416E-2</v>
      </c>
      <c r="C23" s="74">
        <v>4.9919819857905882E-2</v>
      </c>
      <c r="D23" s="15">
        <v>1</v>
      </c>
      <c r="E23" s="16" t="s">
        <v>29</v>
      </c>
    </row>
    <row r="24" spans="1:7" ht="12" customHeight="1" outlineLevel="1" thickBot="1" x14ac:dyDescent="0.25">
      <c r="A24" s="6" t="s">
        <v>3</v>
      </c>
      <c r="B24" s="74">
        <v>0.36840539247134735</v>
      </c>
      <c r="C24" s="74">
        <v>-5.6629354611837608E-2</v>
      </c>
      <c r="D24" s="74">
        <v>1.5914687574807018E-2</v>
      </c>
      <c r="E24" s="15">
        <v>1</v>
      </c>
      <c r="F24" s="16" t="s">
        <v>30</v>
      </c>
    </row>
    <row r="25" spans="1:7" ht="12" customHeight="1" outlineLevel="1" thickBot="1" x14ac:dyDescent="0.25">
      <c r="A25" s="6" t="s">
        <v>4</v>
      </c>
      <c r="B25" s="74">
        <v>0.6822238005825958</v>
      </c>
      <c r="C25" s="74">
        <v>0.94436065798499191</v>
      </c>
      <c r="D25" s="74">
        <v>1.3431822379176117E-2</v>
      </c>
      <c r="E25" s="74">
        <v>-8.3737852516385144E-2</v>
      </c>
      <c r="F25" s="15">
        <v>1</v>
      </c>
      <c r="G25" s="16" t="s">
        <v>31</v>
      </c>
    </row>
    <row r="26" spans="1:7" ht="12" customHeight="1" outlineLevel="1" x14ac:dyDescent="0.2">
      <c r="A26" s="6" t="s">
        <v>5</v>
      </c>
      <c r="B26" s="74">
        <v>-0.18381843011995697</v>
      </c>
      <c r="C26" s="74">
        <v>-1.0269648167747345E-2</v>
      </c>
      <c r="D26" s="74">
        <v>2.2854382024596252E-2</v>
      </c>
      <c r="E26" s="74">
        <v>4.0721826158527964E-2</v>
      </c>
      <c r="F26" s="74">
        <v>-0.20895219977387355</v>
      </c>
      <c r="G26" s="15">
        <v>1</v>
      </c>
    </row>
    <row r="27" spans="1:7" ht="12" customHeight="1" x14ac:dyDescent="0.2">
      <c r="A27" s="17"/>
    </row>
    <row r="31" spans="1:7" ht="12" customHeight="1" x14ac:dyDescent="0.2">
      <c r="A31" s="13" t="s">
        <v>32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O245"/>
  <sheetViews>
    <sheetView showGridLines="0" showRowColHeaders="0" zoomScaleNormal="100" workbookViewId="0">
      <pane xSplit="1" topLeftCell="B1" activePane="topRight" state="frozenSplit"/>
      <selection pane="topRight"/>
    </sheetView>
  </sheetViews>
  <sheetFormatPr defaultRowHeight="12" customHeight="1" outlineLevelRow="1" x14ac:dyDescent="0.2"/>
  <cols>
    <col min="1" max="1" width="17.7109375" style="4" customWidth="1"/>
    <col min="2" max="10" width="9.7109375" style="4" customWidth="1"/>
    <col min="11" max="300" width="9.140625" style="4"/>
    <col min="301" max="301" width="74.42578125" style="4" bestFit="1" customWidth="1"/>
    <col min="302" max="16384" width="9.140625" style="4"/>
  </cols>
  <sheetData>
    <row r="1" spans="1:301" ht="12" customHeight="1" x14ac:dyDescent="0.25">
      <c r="A1" s="5" t="s">
        <v>7</v>
      </c>
      <c r="B1" s="4" t="s">
        <v>43</v>
      </c>
      <c r="U1" s="13"/>
      <c r="V1" s="4" t="s">
        <v>36</v>
      </c>
      <c r="W1" s="13" t="s">
        <v>0</v>
      </c>
      <c r="X1" s="13">
        <v>10</v>
      </c>
      <c r="Z1" s="19" t="s">
        <v>42</v>
      </c>
      <c r="AA1"/>
      <c r="AB1"/>
      <c r="AC1"/>
      <c r="AD1"/>
      <c r="JV1"/>
      <c r="KO1" s="18" t="s">
        <v>42</v>
      </c>
    </row>
    <row r="2" spans="1:301" ht="12" customHeight="1" outlineLevel="1" thickBot="1" x14ac:dyDescent="0.3">
      <c r="A2" s="7" t="s">
        <v>8</v>
      </c>
      <c r="B2" s="7" t="s">
        <v>9</v>
      </c>
      <c r="C2" s="7" t="s">
        <v>10</v>
      </c>
      <c r="D2" s="7" t="s">
        <v>11</v>
      </c>
      <c r="E2" s="7" t="s">
        <v>12</v>
      </c>
      <c r="F2" s="7" t="s">
        <v>13</v>
      </c>
      <c r="G2" s="7" t="s">
        <v>14</v>
      </c>
      <c r="H2" s="7" t="s">
        <v>15</v>
      </c>
      <c r="I2" s="7" t="s">
        <v>16</v>
      </c>
      <c r="J2" s="6"/>
      <c r="AA2"/>
      <c r="AB2"/>
      <c r="AC2"/>
      <c r="AD2"/>
    </row>
    <row r="3" spans="1:301" ht="12" customHeight="1" outlineLevel="1" x14ac:dyDescent="0.25">
      <c r="A3" s="9" t="s">
        <v>6</v>
      </c>
      <c r="B3" s="10">
        <v>245</v>
      </c>
      <c r="C3" s="4">
        <v>161.77142857142857</v>
      </c>
      <c r="D3" s="4">
        <v>162</v>
      </c>
      <c r="E3" s="4">
        <v>12.979681473269713</v>
      </c>
      <c r="F3" s="4">
        <v>162.28918507354928</v>
      </c>
      <c r="G3" s="4">
        <v>0.8292414314435913</v>
      </c>
      <c r="H3" s="4">
        <v>114</v>
      </c>
      <c r="I3" s="4">
        <v>203</v>
      </c>
      <c r="AA3"/>
      <c r="AB3"/>
      <c r="AC3"/>
      <c r="AD3"/>
    </row>
    <row r="4" spans="1:301" ht="12" customHeight="1" outlineLevel="1" x14ac:dyDescent="0.25">
      <c r="A4" s="9" t="s">
        <v>1</v>
      </c>
      <c r="B4" s="10">
        <v>245</v>
      </c>
      <c r="C4" s="4">
        <v>35.991836734693877</v>
      </c>
      <c r="D4" s="4">
        <v>36</v>
      </c>
      <c r="E4" s="4">
        <v>10.164221981923919</v>
      </c>
      <c r="F4" s="4">
        <v>37.393877049810264</v>
      </c>
      <c r="G4" s="4">
        <v>0.64936832257084343</v>
      </c>
      <c r="H4" s="4">
        <v>4</v>
      </c>
      <c r="I4" s="4">
        <v>66</v>
      </c>
      <c r="AA4"/>
      <c r="AB4"/>
      <c r="AC4"/>
      <c r="AD4"/>
    </row>
    <row r="5" spans="1:301" ht="12" customHeight="1" outlineLevel="1" x14ac:dyDescent="0.25">
      <c r="A5" s="9" t="s">
        <v>2</v>
      </c>
      <c r="B5" s="10">
        <v>245</v>
      </c>
      <c r="C5" s="4">
        <v>1.2244897959183674</v>
      </c>
      <c r="D5" s="4">
        <v>1</v>
      </c>
      <c r="E5" s="4">
        <v>10.059791140570645</v>
      </c>
      <c r="F5" s="4">
        <v>10.113640011673061</v>
      </c>
      <c r="G5" s="4">
        <v>0.64269648085046016</v>
      </c>
      <c r="H5" s="4">
        <v>-25</v>
      </c>
      <c r="I5" s="4">
        <v>28</v>
      </c>
      <c r="AA5"/>
      <c r="AB5"/>
      <c r="AC5"/>
      <c r="AD5"/>
    </row>
    <row r="6" spans="1:301" ht="12" customHeight="1" x14ac:dyDescent="0.25">
      <c r="A6" s="17"/>
      <c r="AA6"/>
      <c r="AB6"/>
      <c r="AC6"/>
      <c r="AD6"/>
    </row>
    <row r="7" spans="1:301" ht="12" customHeight="1" x14ac:dyDescent="0.25">
      <c r="A7" s="5" t="s">
        <v>37</v>
      </c>
      <c r="C7" s="13" t="s">
        <v>38</v>
      </c>
      <c r="AA7"/>
      <c r="AB7"/>
      <c r="AC7"/>
      <c r="AD7"/>
    </row>
    <row r="8" spans="1:301" ht="12" customHeight="1" outlineLevel="1" x14ac:dyDescent="0.25">
      <c r="A8" s="4" t="s">
        <v>39</v>
      </c>
      <c r="AA8"/>
      <c r="AB8"/>
      <c r="AC8"/>
      <c r="AD8"/>
    </row>
    <row r="9" spans="1:301" ht="12" customHeight="1" outlineLevel="1" x14ac:dyDescent="0.25">
      <c r="AA9"/>
      <c r="AB9"/>
      <c r="AC9"/>
      <c r="AD9"/>
    </row>
    <row r="10" spans="1:301" ht="12" customHeight="1" outlineLevel="1" x14ac:dyDescent="0.25">
      <c r="AA10"/>
      <c r="AB10"/>
      <c r="AC10"/>
      <c r="AD10"/>
    </row>
    <row r="11" spans="1:301" ht="12" customHeight="1" outlineLevel="1" x14ac:dyDescent="0.25">
      <c r="AA11"/>
      <c r="AB11"/>
      <c r="AC11"/>
      <c r="AD11"/>
    </row>
    <row r="12" spans="1:301" ht="12" customHeight="1" outlineLevel="1" x14ac:dyDescent="0.25">
      <c r="AA12"/>
      <c r="AB12"/>
      <c r="AC12"/>
      <c r="AD12"/>
    </row>
    <row r="13" spans="1:301" ht="12" customHeight="1" outlineLevel="1" x14ac:dyDescent="0.25">
      <c r="AA13"/>
      <c r="AB13"/>
      <c r="AC13"/>
      <c r="AD13"/>
    </row>
    <row r="14" spans="1:301" ht="12" customHeight="1" outlineLevel="1" x14ac:dyDescent="0.25">
      <c r="AA14"/>
      <c r="AB14"/>
      <c r="AC14"/>
      <c r="AD14"/>
    </row>
    <row r="15" spans="1:301" ht="12" customHeight="1" outlineLevel="1" x14ac:dyDescent="0.25">
      <c r="AA15"/>
      <c r="AB15"/>
      <c r="AC15"/>
      <c r="AD15"/>
    </row>
    <row r="16" spans="1:301" ht="12" customHeight="1" outlineLevel="1" x14ac:dyDescent="0.25">
      <c r="AA16"/>
      <c r="AB16"/>
      <c r="AC16"/>
      <c r="AD16"/>
    </row>
    <row r="17" spans="1:30" ht="12" customHeight="1" outlineLevel="1" x14ac:dyDescent="0.25">
      <c r="AA17"/>
      <c r="AB17"/>
      <c r="AC17"/>
      <c r="AD17"/>
    </row>
    <row r="18" spans="1:30" ht="12" customHeight="1" outlineLevel="1" x14ac:dyDescent="0.25">
      <c r="A18" s="4" t="s">
        <v>39</v>
      </c>
      <c r="AA18"/>
      <c r="AB18"/>
      <c r="AC18"/>
      <c r="AD18"/>
    </row>
    <row r="19" spans="1:30" ht="12" customHeight="1" outlineLevel="1" x14ac:dyDescent="0.25">
      <c r="AA19"/>
      <c r="AB19"/>
      <c r="AC19"/>
      <c r="AD19"/>
    </row>
    <row r="20" spans="1:30" ht="12" customHeight="1" outlineLevel="1" x14ac:dyDescent="0.25">
      <c r="AA20"/>
      <c r="AB20"/>
      <c r="AC20"/>
      <c r="AD20"/>
    </row>
    <row r="21" spans="1:30" ht="12" customHeight="1" outlineLevel="1" x14ac:dyDescent="0.25">
      <c r="AA21"/>
      <c r="AB21"/>
      <c r="AC21"/>
      <c r="AD21"/>
    </row>
    <row r="22" spans="1:30" ht="12" customHeight="1" outlineLevel="1" x14ac:dyDescent="0.25">
      <c r="AA22"/>
      <c r="AB22"/>
      <c r="AC22"/>
      <c r="AD22"/>
    </row>
    <row r="23" spans="1:30" ht="12" customHeight="1" outlineLevel="1" x14ac:dyDescent="0.25">
      <c r="AA23"/>
      <c r="AB23"/>
      <c r="AC23"/>
      <c r="AD23"/>
    </row>
    <row r="24" spans="1:30" ht="12" customHeight="1" outlineLevel="1" x14ac:dyDescent="0.25">
      <c r="AA24"/>
      <c r="AB24"/>
      <c r="AC24"/>
      <c r="AD24"/>
    </row>
    <row r="25" spans="1:30" ht="12" customHeight="1" outlineLevel="1" x14ac:dyDescent="0.25">
      <c r="AA25"/>
      <c r="AB25"/>
      <c r="AC25"/>
      <c r="AD25"/>
    </row>
    <row r="26" spans="1:30" ht="12" customHeight="1" outlineLevel="1" x14ac:dyDescent="0.25">
      <c r="AA26"/>
      <c r="AB26"/>
      <c r="AC26"/>
      <c r="AD26"/>
    </row>
    <row r="27" spans="1:30" ht="12" customHeight="1" outlineLevel="1" x14ac:dyDescent="0.25">
      <c r="AA27"/>
      <c r="AB27"/>
      <c r="AC27"/>
      <c r="AD27"/>
    </row>
    <row r="28" spans="1:30" ht="12" customHeight="1" outlineLevel="1" x14ac:dyDescent="0.25">
      <c r="A28" s="4" t="s">
        <v>39</v>
      </c>
      <c r="AA28"/>
      <c r="AB28"/>
      <c r="AC28"/>
      <c r="AD28"/>
    </row>
    <row r="29" spans="1:30" ht="12" customHeight="1" outlineLevel="1" x14ac:dyDescent="0.25">
      <c r="AA29"/>
      <c r="AB29"/>
      <c r="AC29"/>
      <c r="AD29"/>
    </row>
    <row r="30" spans="1:30" ht="12" customHeight="1" outlineLevel="1" x14ac:dyDescent="0.25">
      <c r="AA30"/>
      <c r="AB30"/>
      <c r="AC30"/>
      <c r="AD30"/>
    </row>
    <row r="31" spans="1:30" ht="12" customHeight="1" outlineLevel="1" x14ac:dyDescent="0.25">
      <c r="AA31"/>
      <c r="AB31"/>
      <c r="AC31"/>
      <c r="AD31"/>
    </row>
    <row r="32" spans="1:30" ht="12" customHeight="1" outlineLevel="1" x14ac:dyDescent="0.25">
      <c r="AA32"/>
      <c r="AB32"/>
      <c r="AC32"/>
      <c r="AD32"/>
    </row>
    <row r="33" spans="1:30" ht="12" customHeight="1" outlineLevel="1" x14ac:dyDescent="0.25">
      <c r="AA33"/>
      <c r="AB33"/>
      <c r="AC33"/>
      <c r="AD33"/>
    </row>
    <row r="34" spans="1:30" ht="12" customHeight="1" outlineLevel="1" x14ac:dyDescent="0.25">
      <c r="AA34"/>
      <c r="AB34"/>
      <c r="AC34"/>
      <c r="AD34"/>
    </row>
    <row r="35" spans="1:30" ht="12" customHeight="1" outlineLevel="1" x14ac:dyDescent="0.25">
      <c r="AA35"/>
      <c r="AB35"/>
      <c r="AC35"/>
      <c r="AD35"/>
    </row>
    <row r="36" spans="1:30" ht="12" customHeight="1" outlineLevel="1" x14ac:dyDescent="0.25">
      <c r="AA36"/>
      <c r="AB36"/>
      <c r="AC36"/>
      <c r="AD36"/>
    </row>
    <row r="37" spans="1:30" ht="12" customHeight="1" outlineLevel="1" x14ac:dyDescent="0.25">
      <c r="AA37"/>
      <c r="AB37"/>
      <c r="AC37"/>
      <c r="AD37"/>
    </row>
    <row r="38" spans="1:30" ht="12" customHeight="1" x14ac:dyDescent="0.25">
      <c r="A38" s="20"/>
      <c r="AA38"/>
      <c r="AB38"/>
      <c r="AC38"/>
      <c r="AD38"/>
    </row>
    <row r="39" spans="1:30" ht="12" customHeight="1" x14ac:dyDescent="0.25">
      <c r="A39" s="5" t="s">
        <v>40</v>
      </c>
      <c r="C39" s="13" t="s">
        <v>38</v>
      </c>
      <c r="AA39"/>
      <c r="AB39"/>
      <c r="AC39"/>
      <c r="AD39"/>
    </row>
    <row r="40" spans="1:30" ht="12" customHeight="1" outlineLevel="1" x14ac:dyDescent="0.25">
      <c r="AA40"/>
      <c r="AB40"/>
      <c r="AC40"/>
      <c r="AD40"/>
    </row>
    <row r="41" spans="1:30" ht="12" customHeight="1" outlineLevel="1" x14ac:dyDescent="0.25">
      <c r="A41" s="4" t="s">
        <v>39</v>
      </c>
      <c r="AA41"/>
      <c r="AB41"/>
      <c r="AC41"/>
      <c r="AD41"/>
    </row>
    <row r="42" spans="1:30" ht="12" customHeight="1" outlineLevel="1" x14ac:dyDescent="0.25">
      <c r="AA42"/>
      <c r="AB42"/>
      <c r="AC42"/>
      <c r="AD42"/>
    </row>
    <row r="43" spans="1:30" ht="12" customHeight="1" outlineLevel="1" x14ac:dyDescent="0.25">
      <c r="AA43"/>
      <c r="AB43"/>
      <c r="AC43"/>
      <c r="AD43"/>
    </row>
    <row r="44" spans="1:30" ht="12" customHeight="1" outlineLevel="1" x14ac:dyDescent="0.25">
      <c r="AA44"/>
      <c r="AB44"/>
      <c r="AC44"/>
      <c r="AD44"/>
    </row>
    <row r="45" spans="1:30" ht="12" customHeight="1" outlineLevel="1" x14ac:dyDescent="0.25">
      <c r="AA45"/>
      <c r="AB45"/>
      <c r="AC45"/>
      <c r="AD45"/>
    </row>
    <row r="46" spans="1:30" ht="12" customHeight="1" outlineLevel="1" x14ac:dyDescent="0.25">
      <c r="AA46"/>
      <c r="AB46"/>
      <c r="AC46"/>
      <c r="AD46"/>
    </row>
    <row r="47" spans="1:30" ht="12" customHeight="1" outlineLevel="1" x14ac:dyDescent="0.25">
      <c r="AA47"/>
      <c r="AB47"/>
      <c r="AC47"/>
      <c r="AD47"/>
    </row>
    <row r="48" spans="1:30" ht="12" customHeight="1" outlineLevel="1" x14ac:dyDescent="0.25">
      <c r="AA48"/>
      <c r="AB48"/>
      <c r="AC48"/>
      <c r="AD48"/>
    </row>
    <row r="49" spans="1:30" ht="12" customHeight="1" outlineLevel="1" x14ac:dyDescent="0.25">
      <c r="AA49"/>
      <c r="AB49"/>
      <c r="AC49"/>
      <c r="AD49"/>
    </row>
    <row r="50" spans="1:30" ht="12" customHeight="1" outlineLevel="1" x14ac:dyDescent="0.25">
      <c r="AA50"/>
      <c r="AB50"/>
      <c r="AC50"/>
      <c r="AD50"/>
    </row>
    <row r="51" spans="1:30" ht="12" customHeight="1" outlineLevel="1" x14ac:dyDescent="0.25">
      <c r="AA51"/>
      <c r="AB51"/>
      <c r="AC51"/>
      <c r="AD51"/>
    </row>
    <row r="52" spans="1:30" ht="12" customHeight="1" outlineLevel="1" x14ac:dyDescent="0.25">
      <c r="A52" s="4" t="s">
        <v>39</v>
      </c>
      <c r="AA52"/>
      <c r="AB52"/>
      <c r="AC52"/>
      <c r="AD52"/>
    </row>
    <row r="53" spans="1:30" ht="12" customHeight="1" outlineLevel="1" x14ac:dyDescent="0.25">
      <c r="AA53"/>
      <c r="AB53"/>
      <c r="AC53"/>
      <c r="AD53"/>
    </row>
    <row r="54" spans="1:30" ht="12" customHeight="1" outlineLevel="1" x14ac:dyDescent="0.25">
      <c r="AA54"/>
      <c r="AB54"/>
      <c r="AC54"/>
      <c r="AD54"/>
    </row>
    <row r="55" spans="1:30" ht="12" customHeight="1" outlineLevel="1" x14ac:dyDescent="0.25">
      <c r="AA55"/>
      <c r="AB55"/>
      <c r="AC55"/>
      <c r="AD55"/>
    </row>
    <row r="56" spans="1:30" ht="12" customHeight="1" outlineLevel="1" x14ac:dyDescent="0.25">
      <c r="AA56"/>
      <c r="AB56"/>
      <c r="AC56"/>
      <c r="AD56"/>
    </row>
    <row r="57" spans="1:30" ht="12" customHeight="1" outlineLevel="1" x14ac:dyDescent="0.25">
      <c r="AA57"/>
      <c r="AB57"/>
      <c r="AC57"/>
      <c r="AD57"/>
    </row>
    <row r="58" spans="1:30" ht="12" customHeight="1" outlineLevel="1" x14ac:dyDescent="0.25">
      <c r="AA58"/>
      <c r="AB58"/>
      <c r="AC58"/>
      <c r="AD58"/>
    </row>
    <row r="59" spans="1:30" ht="12" customHeight="1" outlineLevel="1" x14ac:dyDescent="0.25">
      <c r="AA59"/>
      <c r="AB59"/>
      <c r="AC59"/>
      <c r="AD59"/>
    </row>
    <row r="60" spans="1:30" ht="12" customHeight="1" outlineLevel="1" x14ac:dyDescent="0.25">
      <c r="AA60"/>
      <c r="AB60"/>
      <c r="AC60"/>
      <c r="AD60"/>
    </row>
    <row r="61" spans="1:30" ht="12" customHeight="1" outlineLevel="1" x14ac:dyDescent="0.25">
      <c r="AA61"/>
      <c r="AB61"/>
      <c r="AC61"/>
      <c r="AD61"/>
    </row>
    <row r="62" spans="1:30" ht="12" customHeight="1" outlineLevel="1" x14ac:dyDescent="0.25">
      <c r="AA62"/>
      <c r="AB62"/>
      <c r="AC62"/>
      <c r="AD62"/>
    </row>
    <row r="63" spans="1:30" ht="12" customHeight="1" x14ac:dyDescent="0.25">
      <c r="A63" s="20"/>
      <c r="AA63"/>
      <c r="AB63"/>
      <c r="AC63"/>
      <c r="AD63"/>
    </row>
    <row r="64" spans="1:30" ht="12" customHeight="1" x14ac:dyDescent="0.25">
      <c r="A64" s="5" t="s">
        <v>25</v>
      </c>
      <c r="AA64"/>
      <c r="AB64"/>
      <c r="AC64"/>
      <c r="AD64"/>
    </row>
    <row r="65" spans="1:30" ht="12" customHeight="1" outlineLevel="1" thickBot="1" x14ac:dyDescent="0.3">
      <c r="A65" s="7" t="s">
        <v>8</v>
      </c>
      <c r="B65" s="8" t="s">
        <v>26</v>
      </c>
      <c r="AA65"/>
      <c r="AB65"/>
      <c r="AC65"/>
      <c r="AD65"/>
    </row>
    <row r="66" spans="1:30" ht="12" customHeight="1" outlineLevel="1" thickBot="1" x14ac:dyDescent="0.3">
      <c r="A66" s="6" t="s">
        <v>6</v>
      </c>
      <c r="B66" s="15">
        <v>1</v>
      </c>
      <c r="C66" s="16" t="s">
        <v>27</v>
      </c>
      <c r="AA66"/>
      <c r="AB66"/>
      <c r="AC66"/>
      <c r="AD66"/>
    </row>
    <row r="67" spans="1:30" ht="12" customHeight="1" outlineLevel="1" thickBot="1" x14ac:dyDescent="0.3">
      <c r="A67" s="6" t="s">
        <v>1</v>
      </c>
      <c r="B67" s="4">
        <v>0.70348482491699826</v>
      </c>
      <c r="C67" s="15">
        <v>1</v>
      </c>
      <c r="D67" s="16" t="s">
        <v>28</v>
      </c>
      <c r="AA67"/>
      <c r="AB67"/>
      <c r="AC67"/>
      <c r="AD67"/>
    </row>
    <row r="68" spans="1:30" ht="12" customHeight="1" outlineLevel="1" x14ac:dyDescent="0.25">
      <c r="A68" s="6" t="s">
        <v>2</v>
      </c>
      <c r="B68" s="4">
        <v>-1.7276594648682416E-2</v>
      </c>
      <c r="C68" s="4">
        <v>4.9919819857905882E-2</v>
      </c>
      <c r="D68" s="15">
        <v>1</v>
      </c>
      <c r="AA68"/>
      <c r="AB68"/>
      <c r="AC68"/>
      <c r="AD68"/>
    </row>
    <row r="69" spans="1:30" ht="12" customHeight="1" x14ac:dyDescent="0.25">
      <c r="A69" s="17"/>
      <c r="AA69"/>
      <c r="AB69"/>
      <c r="AC69"/>
      <c r="AD69"/>
    </row>
    <row r="70" spans="1:30" ht="12" customHeight="1" x14ac:dyDescent="0.25">
      <c r="A70" s="5" t="s">
        <v>41</v>
      </c>
      <c r="C70" s="13" t="s">
        <v>38</v>
      </c>
      <c r="AA70"/>
      <c r="AB70"/>
      <c r="AC70"/>
      <c r="AD70"/>
    </row>
    <row r="71" spans="1:30" ht="12" customHeight="1" outlineLevel="1" x14ac:dyDescent="0.25">
      <c r="A71" s="4" t="s">
        <v>39</v>
      </c>
      <c r="AA71"/>
      <c r="AB71"/>
      <c r="AC71"/>
      <c r="AD71"/>
    </row>
    <row r="72" spans="1:30" ht="12" customHeight="1" outlineLevel="1" x14ac:dyDescent="0.25">
      <c r="AA72"/>
      <c r="AB72"/>
      <c r="AC72"/>
      <c r="AD72"/>
    </row>
    <row r="73" spans="1:30" ht="12" customHeight="1" outlineLevel="1" x14ac:dyDescent="0.25">
      <c r="AA73"/>
      <c r="AB73"/>
      <c r="AC73"/>
      <c r="AD73"/>
    </row>
    <row r="74" spans="1:30" ht="12" customHeight="1" outlineLevel="1" x14ac:dyDescent="0.25">
      <c r="AA74"/>
      <c r="AB74"/>
      <c r="AC74"/>
      <c r="AD74"/>
    </row>
    <row r="75" spans="1:30" ht="12" customHeight="1" outlineLevel="1" x14ac:dyDescent="0.25">
      <c r="AA75"/>
      <c r="AB75"/>
      <c r="AC75"/>
      <c r="AD75"/>
    </row>
    <row r="76" spans="1:30" ht="12" customHeight="1" outlineLevel="1" x14ac:dyDescent="0.25">
      <c r="AA76"/>
      <c r="AB76"/>
      <c r="AC76"/>
      <c r="AD76"/>
    </row>
    <row r="77" spans="1:30" ht="12" customHeight="1" outlineLevel="1" x14ac:dyDescent="0.25">
      <c r="AA77"/>
      <c r="AB77"/>
      <c r="AC77"/>
      <c r="AD77"/>
    </row>
    <row r="78" spans="1:30" ht="12" customHeight="1" outlineLevel="1" x14ac:dyDescent="0.25">
      <c r="AA78"/>
      <c r="AB78"/>
      <c r="AC78"/>
      <c r="AD78"/>
    </row>
    <row r="79" spans="1:30" ht="12" customHeight="1" outlineLevel="1" x14ac:dyDescent="0.25">
      <c r="AA79"/>
      <c r="AB79"/>
      <c r="AC79"/>
      <c r="AD79"/>
    </row>
    <row r="80" spans="1:30" ht="12" customHeight="1" outlineLevel="1" x14ac:dyDescent="0.25">
      <c r="AA80"/>
      <c r="AB80"/>
      <c r="AC80"/>
      <c r="AD80"/>
    </row>
    <row r="81" spans="1:30" ht="12" customHeight="1" outlineLevel="1" x14ac:dyDescent="0.25">
      <c r="AA81"/>
      <c r="AB81"/>
      <c r="AC81"/>
      <c r="AD81"/>
    </row>
    <row r="82" spans="1:30" ht="12" customHeight="1" outlineLevel="1" x14ac:dyDescent="0.25">
      <c r="AA82"/>
      <c r="AB82"/>
      <c r="AC82"/>
      <c r="AD82"/>
    </row>
    <row r="83" spans="1:30" ht="12" customHeight="1" outlineLevel="1" x14ac:dyDescent="0.25">
      <c r="AA83"/>
      <c r="AB83"/>
      <c r="AC83"/>
      <c r="AD83"/>
    </row>
    <row r="84" spans="1:30" ht="12" customHeight="1" outlineLevel="1" x14ac:dyDescent="0.25">
      <c r="AA84"/>
      <c r="AB84"/>
      <c r="AC84"/>
      <c r="AD84"/>
    </row>
    <row r="85" spans="1:30" ht="12" customHeight="1" outlineLevel="1" x14ac:dyDescent="0.25">
      <c r="AA85"/>
      <c r="AB85"/>
      <c r="AC85"/>
      <c r="AD85"/>
    </row>
    <row r="86" spans="1:30" ht="12" customHeight="1" outlineLevel="1" x14ac:dyDescent="0.25">
      <c r="AA86"/>
      <c r="AB86"/>
      <c r="AC86"/>
      <c r="AD86"/>
    </row>
    <row r="87" spans="1:30" ht="12" customHeight="1" outlineLevel="1" x14ac:dyDescent="0.25">
      <c r="A87" s="4" t="s">
        <v>39</v>
      </c>
      <c r="AA87"/>
      <c r="AB87"/>
      <c r="AC87"/>
      <c r="AD87"/>
    </row>
    <row r="88" spans="1:30" ht="12" customHeight="1" outlineLevel="1" x14ac:dyDescent="0.25">
      <c r="AA88"/>
      <c r="AB88"/>
      <c r="AC88"/>
      <c r="AD88"/>
    </row>
    <row r="89" spans="1:30" ht="12" customHeight="1" outlineLevel="1" x14ac:dyDescent="0.25">
      <c r="AA89"/>
      <c r="AB89"/>
      <c r="AC89"/>
      <c r="AD89"/>
    </row>
    <row r="90" spans="1:30" ht="12" customHeight="1" outlineLevel="1" x14ac:dyDescent="0.25">
      <c r="AA90"/>
      <c r="AB90"/>
      <c r="AC90"/>
      <c r="AD90"/>
    </row>
    <row r="91" spans="1:30" ht="12" customHeight="1" outlineLevel="1" x14ac:dyDescent="0.25">
      <c r="AA91"/>
      <c r="AB91"/>
      <c r="AC91"/>
      <c r="AD91"/>
    </row>
    <row r="92" spans="1:30" ht="12" customHeight="1" outlineLevel="1" x14ac:dyDescent="0.25">
      <c r="AA92"/>
      <c r="AB92"/>
      <c r="AC92"/>
      <c r="AD92"/>
    </row>
    <row r="93" spans="1:30" ht="12" customHeight="1" outlineLevel="1" x14ac:dyDescent="0.25">
      <c r="AA93"/>
      <c r="AB93"/>
      <c r="AC93"/>
      <c r="AD93"/>
    </row>
    <row r="94" spans="1:30" ht="12" customHeight="1" outlineLevel="1" x14ac:dyDescent="0.25">
      <c r="AA94"/>
      <c r="AB94"/>
      <c r="AC94"/>
      <c r="AD94"/>
    </row>
    <row r="95" spans="1:30" ht="12" customHeight="1" outlineLevel="1" x14ac:dyDescent="0.25">
      <c r="AA95"/>
      <c r="AB95"/>
      <c r="AC95"/>
      <c r="AD95"/>
    </row>
    <row r="96" spans="1:30" ht="12" customHeight="1" outlineLevel="1" x14ac:dyDescent="0.25">
      <c r="AA96"/>
      <c r="AB96"/>
      <c r="AC96"/>
      <c r="AD96"/>
    </row>
    <row r="97" spans="1:30" ht="12" customHeight="1" outlineLevel="1" x14ac:dyDescent="0.25">
      <c r="AA97"/>
      <c r="AB97"/>
      <c r="AC97"/>
      <c r="AD97"/>
    </row>
    <row r="98" spans="1:30" ht="12" customHeight="1" outlineLevel="1" x14ac:dyDescent="0.25">
      <c r="AA98"/>
      <c r="AB98"/>
      <c r="AC98"/>
      <c r="AD98"/>
    </row>
    <row r="99" spans="1:30" ht="12" customHeight="1" outlineLevel="1" x14ac:dyDescent="0.25">
      <c r="AA99"/>
      <c r="AB99"/>
      <c r="AC99"/>
      <c r="AD99"/>
    </row>
    <row r="100" spans="1:30" ht="12" customHeight="1" outlineLevel="1" x14ac:dyDescent="0.25">
      <c r="AA100"/>
      <c r="AB100"/>
      <c r="AC100"/>
      <c r="AD100"/>
    </row>
    <row r="101" spans="1:30" ht="12" customHeight="1" outlineLevel="1" x14ac:dyDescent="0.25">
      <c r="AA101"/>
      <c r="AB101"/>
      <c r="AC101"/>
      <c r="AD101"/>
    </row>
    <row r="102" spans="1:30" ht="12" customHeight="1" outlineLevel="1" x14ac:dyDescent="0.25">
      <c r="AA102"/>
      <c r="AB102"/>
      <c r="AC102"/>
      <c r="AD102"/>
    </row>
    <row r="103" spans="1:30" ht="12" customHeight="1" outlineLevel="1" x14ac:dyDescent="0.25">
      <c r="A103" s="4" t="s">
        <v>39</v>
      </c>
      <c r="AA103"/>
      <c r="AB103"/>
      <c r="AC103"/>
      <c r="AD103"/>
    </row>
    <row r="104" spans="1:30" ht="12" customHeight="1" outlineLevel="1" x14ac:dyDescent="0.25">
      <c r="AA104"/>
      <c r="AB104"/>
      <c r="AC104"/>
      <c r="AD104"/>
    </row>
    <row r="105" spans="1:30" ht="12" customHeight="1" outlineLevel="1" x14ac:dyDescent="0.25">
      <c r="AA105"/>
      <c r="AB105"/>
      <c r="AC105"/>
      <c r="AD105"/>
    </row>
    <row r="106" spans="1:30" ht="12" customHeight="1" outlineLevel="1" x14ac:dyDescent="0.25">
      <c r="AA106"/>
      <c r="AB106"/>
      <c r="AC106"/>
      <c r="AD106"/>
    </row>
    <row r="107" spans="1:30" ht="12" customHeight="1" outlineLevel="1" x14ac:dyDescent="0.25">
      <c r="AA107"/>
      <c r="AB107"/>
      <c r="AC107"/>
      <c r="AD107"/>
    </row>
    <row r="108" spans="1:30" ht="12" customHeight="1" outlineLevel="1" x14ac:dyDescent="0.25">
      <c r="AA108"/>
      <c r="AB108"/>
      <c r="AC108"/>
      <c r="AD108"/>
    </row>
    <row r="109" spans="1:30" ht="12" customHeight="1" outlineLevel="1" x14ac:dyDescent="0.25">
      <c r="AA109"/>
      <c r="AB109"/>
      <c r="AC109"/>
      <c r="AD109"/>
    </row>
    <row r="110" spans="1:30" ht="12" customHeight="1" outlineLevel="1" x14ac:dyDescent="0.25">
      <c r="AA110"/>
      <c r="AB110"/>
      <c r="AC110"/>
      <c r="AD110"/>
    </row>
    <row r="111" spans="1:30" ht="12" customHeight="1" outlineLevel="1" x14ac:dyDescent="0.25">
      <c r="AA111"/>
      <c r="AB111"/>
      <c r="AC111"/>
      <c r="AD111"/>
    </row>
    <row r="112" spans="1:30" ht="12" customHeight="1" outlineLevel="1" x14ac:dyDescent="0.25">
      <c r="AA112"/>
      <c r="AB112"/>
      <c r="AC112"/>
      <c r="AD112"/>
    </row>
    <row r="113" spans="1:30" ht="12" customHeight="1" outlineLevel="1" x14ac:dyDescent="0.25">
      <c r="AA113"/>
      <c r="AB113"/>
      <c r="AC113"/>
      <c r="AD113"/>
    </row>
    <row r="114" spans="1:30" ht="12" customHeight="1" outlineLevel="1" x14ac:dyDescent="0.25">
      <c r="AA114"/>
      <c r="AB114"/>
      <c r="AC114"/>
      <c r="AD114"/>
    </row>
    <row r="115" spans="1:30" ht="12" customHeight="1" outlineLevel="1" x14ac:dyDescent="0.25">
      <c r="AA115"/>
      <c r="AB115"/>
      <c r="AC115"/>
      <c r="AD115"/>
    </row>
    <row r="116" spans="1:30" ht="12" customHeight="1" outlineLevel="1" x14ac:dyDescent="0.25">
      <c r="AA116"/>
      <c r="AB116"/>
      <c r="AC116"/>
      <c r="AD116"/>
    </row>
    <row r="117" spans="1:30" ht="12" customHeight="1" outlineLevel="1" x14ac:dyDescent="0.25">
      <c r="AA117"/>
      <c r="AB117"/>
      <c r="AC117"/>
      <c r="AD117"/>
    </row>
    <row r="118" spans="1:30" ht="12" customHeight="1" outlineLevel="1" x14ac:dyDescent="0.25">
      <c r="AA118"/>
      <c r="AB118"/>
      <c r="AC118"/>
      <c r="AD118"/>
    </row>
    <row r="119" spans="1:30" ht="12" customHeight="1" outlineLevel="1" x14ac:dyDescent="0.25">
      <c r="AA119"/>
      <c r="AB119"/>
      <c r="AC119"/>
      <c r="AD119"/>
    </row>
    <row r="120" spans="1:30" ht="12" customHeight="1" x14ac:dyDescent="0.25">
      <c r="A120" s="20"/>
      <c r="AA120"/>
      <c r="AB120"/>
      <c r="AC120"/>
      <c r="AD120"/>
    </row>
    <row r="121" spans="1:30" ht="12" customHeight="1" x14ac:dyDescent="0.25">
      <c r="A121" s="13" t="s">
        <v>32</v>
      </c>
      <c r="AA121"/>
      <c r="AB121"/>
      <c r="AC121"/>
      <c r="AD121"/>
    </row>
    <row r="122" spans="1:30" ht="12" customHeight="1" x14ac:dyDescent="0.25">
      <c r="AA122"/>
      <c r="AB122"/>
      <c r="AC122"/>
      <c r="AD122"/>
    </row>
    <row r="123" spans="1:30" ht="12" customHeight="1" x14ac:dyDescent="0.25">
      <c r="AA123"/>
      <c r="AB123"/>
      <c r="AC123"/>
      <c r="AD123"/>
    </row>
    <row r="124" spans="1:30" ht="12" customHeight="1" x14ac:dyDescent="0.25">
      <c r="AA124"/>
      <c r="AB124"/>
      <c r="AC124"/>
      <c r="AD124"/>
    </row>
    <row r="125" spans="1:30" ht="12" customHeight="1" x14ac:dyDescent="0.25">
      <c r="AA125"/>
      <c r="AB125"/>
      <c r="AC125"/>
      <c r="AD125"/>
    </row>
    <row r="126" spans="1:30" ht="12" customHeight="1" x14ac:dyDescent="0.25">
      <c r="AA126"/>
      <c r="AB126"/>
      <c r="AC126"/>
      <c r="AD126"/>
    </row>
    <row r="127" spans="1:30" ht="12" customHeight="1" x14ac:dyDescent="0.25">
      <c r="AA127"/>
      <c r="AB127"/>
      <c r="AC127"/>
      <c r="AD127"/>
    </row>
    <row r="128" spans="1:30" ht="12" customHeight="1" x14ac:dyDescent="0.25">
      <c r="AA128"/>
      <c r="AB128"/>
      <c r="AC128"/>
      <c r="AD128"/>
    </row>
    <row r="129" spans="27:30" ht="12" customHeight="1" x14ac:dyDescent="0.25">
      <c r="AA129"/>
      <c r="AB129"/>
      <c r="AC129"/>
      <c r="AD129"/>
    </row>
    <row r="130" spans="27:30" ht="12" customHeight="1" x14ac:dyDescent="0.25">
      <c r="AA130"/>
      <c r="AB130"/>
      <c r="AC130"/>
      <c r="AD130"/>
    </row>
    <row r="131" spans="27:30" ht="12" customHeight="1" x14ac:dyDescent="0.25">
      <c r="AA131"/>
      <c r="AB131"/>
      <c r="AC131"/>
      <c r="AD131"/>
    </row>
    <row r="132" spans="27:30" ht="12" customHeight="1" x14ac:dyDescent="0.25">
      <c r="AA132"/>
      <c r="AB132"/>
      <c r="AC132"/>
      <c r="AD132"/>
    </row>
    <row r="133" spans="27:30" ht="12" customHeight="1" x14ac:dyDescent="0.25">
      <c r="AA133"/>
      <c r="AB133"/>
      <c r="AC133"/>
      <c r="AD133"/>
    </row>
    <row r="134" spans="27:30" ht="12" customHeight="1" x14ac:dyDescent="0.25">
      <c r="AA134"/>
      <c r="AB134"/>
      <c r="AC134"/>
      <c r="AD134"/>
    </row>
    <row r="135" spans="27:30" ht="12" customHeight="1" x14ac:dyDescent="0.25">
      <c r="AA135"/>
      <c r="AB135"/>
      <c r="AC135"/>
      <c r="AD135"/>
    </row>
    <row r="136" spans="27:30" ht="12" customHeight="1" x14ac:dyDescent="0.25">
      <c r="AA136"/>
      <c r="AB136"/>
      <c r="AC136"/>
      <c r="AD136"/>
    </row>
    <row r="137" spans="27:30" ht="12" customHeight="1" x14ac:dyDescent="0.25">
      <c r="AA137"/>
      <c r="AB137"/>
      <c r="AC137"/>
      <c r="AD137"/>
    </row>
    <row r="138" spans="27:30" ht="12" customHeight="1" x14ac:dyDescent="0.25">
      <c r="AA138"/>
      <c r="AB138"/>
      <c r="AC138"/>
      <c r="AD138"/>
    </row>
    <row r="139" spans="27:30" ht="12" customHeight="1" x14ac:dyDescent="0.25">
      <c r="AA139"/>
      <c r="AB139"/>
      <c r="AC139"/>
      <c r="AD139"/>
    </row>
    <row r="140" spans="27:30" ht="12" customHeight="1" x14ac:dyDescent="0.25">
      <c r="AA140"/>
      <c r="AB140"/>
      <c r="AC140"/>
      <c r="AD140"/>
    </row>
    <row r="141" spans="27:30" ht="12" customHeight="1" x14ac:dyDescent="0.25">
      <c r="AA141"/>
      <c r="AB141"/>
      <c r="AC141"/>
      <c r="AD141"/>
    </row>
    <row r="142" spans="27:30" ht="12" customHeight="1" x14ac:dyDescent="0.25">
      <c r="AA142"/>
      <c r="AB142"/>
      <c r="AC142"/>
      <c r="AD142"/>
    </row>
    <row r="143" spans="27:30" ht="12" customHeight="1" x14ac:dyDescent="0.25">
      <c r="AA143"/>
      <c r="AB143"/>
      <c r="AC143"/>
      <c r="AD143"/>
    </row>
    <row r="144" spans="27:30" ht="12" customHeight="1" x14ac:dyDescent="0.25">
      <c r="AA144"/>
      <c r="AB144"/>
      <c r="AC144"/>
      <c r="AD144"/>
    </row>
    <row r="145" spans="27:30" ht="12" customHeight="1" x14ac:dyDescent="0.25">
      <c r="AA145"/>
      <c r="AB145"/>
      <c r="AC145"/>
      <c r="AD145"/>
    </row>
    <row r="146" spans="27:30" ht="12" customHeight="1" x14ac:dyDescent="0.25">
      <c r="AA146"/>
      <c r="AB146"/>
      <c r="AC146"/>
      <c r="AD146"/>
    </row>
    <row r="147" spans="27:30" ht="12" customHeight="1" x14ac:dyDescent="0.25">
      <c r="AA147"/>
      <c r="AB147"/>
      <c r="AC147"/>
      <c r="AD147"/>
    </row>
    <row r="148" spans="27:30" ht="12" customHeight="1" x14ac:dyDescent="0.25">
      <c r="AA148"/>
      <c r="AB148"/>
      <c r="AC148"/>
      <c r="AD148"/>
    </row>
    <row r="149" spans="27:30" ht="12" customHeight="1" x14ac:dyDescent="0.25">
      <c r="AA149"/>
      <c r="AB149"/>
      <c r="AC149"/>
      <c r="AD149"/>
    </row>
    <row r="150" spans="27:30" ht="12" customHeight="1" x14ac:dyDescent="0.25">
      <c r="AA150"/>
      <c r="AB150"/>
      <c r="AC150"/>
      <c r="AD150"/>
    </row>
    <row r="151" spans="27:30" ht="12" customHeight="1" x14ac:dyDescent="0.25">
      <c r="AA151"/>
      <c r="AB151"/>
      <c r="AC151"/>
      <c r="AD151"/>
    </row>
    <row r="152" spans="27:30" ht="12" customHeight="1" x14ac:dyDescent="0.25">
      <c r="AA152"/>
      <c r="AB152"/>
      <c r="AC152"/>
      <c r="AD152"/>
    </row>
    <row r="153" spans="27:30" ht="12" customHeight="1" x14ac:dyDescent="0.25">
      <c r="AA153"/>
      <c r="AB153"/>
      <c r="AC153"/>
      <c r="AD153"/>
    </row>
    <row r="154" spans="27:30" ht="12" customHeight="1" x14ac:dyDescent="0.25">
      <c r="AA154"/>
      <c r="AB154"/>
      <c r="AC154"/>
      <c r="AD154"/>
    </row>
    <row r="155" spans="27:30" ht="12" customHeight="1" x14ac:dyDescent="0.25">
      <c r="AA155"/>
      <c r="AB155"/>
      <c r="AC155"/>
      <c r="AD155"/>
    </row>
    <row r="156" spans="27:30" ht="12" customHeight="1" x14ac:dyDescent="0.25">
      <c r="AA156"/>
      <c r="AB156"/>
      <c r="AC156"/>
      <c r="AD156"/>
    </row>
    <row r="157" spans="27:30" ht="12" customHeight="1" x14ac:dyDescent="0.25">
      <c r="AA157"/>
      <c r="AB157"/>
      <c r="AC157"/>
      <c r="AD157"/>
    </row>
    <row r="158" spans="27:30" ht="12" customHeight="1" x14ac:dyDescent="0.25">
      <c r="AA158"/>
      <c r="AB158"/>
      <c r="AC158"/>
      <c r="AD158"/>
    </row>
    <row r="159" spans="27:30" ht="12" customHeight="1" x14ac:dyDescent="0.25">
      <c r="AA159"/>
      <c r="AB159"/>
      <c r="AC159"/>
      <c r="AD159"/>
    </row>
    <row r="160" spans="27:30" ht="12" customHeight="1" x14ac:dyDescent="0.25">
      <c r="AA160"/>
      <c r="AB160"/>
      <c r="AC160"/>
      <c r="AD160"/>
    </row>
    <row r="161" spans="27:30" ht="12" customHeight="1" x14ac:dyDescent="0.25">
      <c r="AA161"/>
      <c r="AB161"/>
      <c r="AC161"/>
      <c r="AD161"/>
    </row>
    <row r="162" spans="27:30" ht="12" customHeight="1" x14ac:dyDescent="0.25">
      <c r="AA162"/>
      <c r="AB162"/>
      <c r="AC162"/>
      <c r="AD162"/>
    </row>
    <row r="163" spans="27:30" ht="12" customHeight="1" x14ac:dyDescent="0.25">
      <c r="AA163"/>
      <c r="AB163"/>
      <c r="AC163"/>
      <c r="AD163"/>
    </row>
    <row r="164" spans="27:30" ht="12" customHeight="1" x14ac:dyDescent="0.25">
      <c r="AA164"/>
      <c r="AB164"/>
      <c r="AC164"/>
      <c r="AD164"/>
    </row>
    <row r="165" spans="27:30" ht="12" customHeight="1" x14ac:dyDescent="0.25">
      <c r="AA165"/>
      <c r="AB165"/>
      <c r="AC165"/>
      <c r="AD165"/>
    </row>
    <row r="166" spans="27:30" ht="12" customHeight="1" x14ac:dyDescent="0.25">
      <c r="AA166"/>
      <c r="AB166"/>
      <c r="AC166"/>
      <c r="AD166"/>
    </row>
    <row r="167" spans="27:30" ht="12" customHeight="1" x14ac:dyDescent="0.25">
      <c r="AA167"/>
      <c r="AB167"/>
      <c r="AC167"/>
      <c r="AD167"/>
    </row>
    <row r="168" spans="27:30" ht="12" customHeight="1" x14ac:dyDescent="0.25">
      <c r="AA168"/>
      <c r="AB168"/>
      <c r="AC168"/>
      <c r="AD168"/>
    </row>
    <row r="169" spans="27:30" ht="12" customHeight="1" x14ac:dyDescent="0.25">
      <c r="AA169"/>
      <c r="AB169"/>
      <c r="AC169"/>
      <c r="AD169"/>
    </row>
    <row r="170" spans="27:30" ht="12" customHeight="1" x14ac:dyDescent="0.25">
      <c r="AA170"/>
      <c r="AB170"/>
      <c r="AC170"/>
      <c r="AD170"/>
    </row>
    <row r="171" spans="27:30" ht="12" customHeight="1" x14ac:dyDescent="0.25">
      <c r="AA171"/>
      <c r="AB171"/>
      <c r="AC171"/>
      <c r="AD171"/>
    </row>
    <row r="172" spans="27:30" ht="12" customHeight="1" x14ac:dyDescent="0.25">
      <c r="AA172"/>
      <c r="AB172"/>
      <c r="AC172"/>
      <c r="AD172"/>
    </row>
    <row r="173" spans="27:30" ht="12" customHeight="1" x14ac:dyDescent="0.25">
      <c r="AA173"/>
      <c r="AB173"/>
      <c r="AC173"/>
      <c r="AD173"/>
    </row>
    <row r="174" spans="27:30" ht="12" customHeight="1" x14ac:dyDescent="0.25">
      <c r="AA174"/>
      <c r="AB174"/>
      <c r="AC174"/>
      <c r="AD174"/>
    </row>
    <row r="175" spans="27:30" ht="12" customHeight="1" x14ac:dyDescent="0.25">
      <c r="AA175"/>
      <c r="AB175"/>
      <c r="AC175"/>
      <c r="AD175"/>
    </row>
    <row r="176" spans="27:30" ht="12" customHeight="1" x14ac:dyDescent="0.25">
      <c r="AA176"/>
      <c r="AB176"/>
      <c r="AC176"/>
      <c r="AD176"/>
    </row>
    <row r="177" spans="27:30" ht="12" customHeight="1" x14ac:dyDescent="0.25">
      <c r="AA177"/>
      <c r="AB177"/>
      <c r="AC177"/>
      <c r="AD177"/>
    </row>
    <row r="178" spans="27:30" ht="12" customHeight="1" x14ac:dyDescent="0.25">
      <c r="AA178"/>
      <c r="AB178"/>
      <c r="AC178"/>
      <c r="AD178"/>
    </row>
    <row r="179" spans="27:30" ht="12" customHeight="1" x14ac:dyDescent="0.25">
      <c r="AA179"/>
      <c r="AB179"/>
      <c r="AC179"/>
      <c r="AD179"/>
    </row>
    <row r="180" spans="27:30" ht="12" customHeight="1" x14ac:dyDescent="0.25">
      <c r="AA180"/>
      <c r="AB180"/>
      <c r="AC180"/>
      <c r="AD180"/>
    </row>
    <row r="181" spans="27:30" ht="12" customHeight="1" x14ac:dyDescent="0.25">
      <c r="AA181"/>
      <c r="AB181"/>
      <c r="AC181"/>
      <c r="AD181"/>
    </row>
    <row r="182" spans="27:30" ht="12" customHeight="1" x14ac:dyDescent="0.25">
      <c r="AA182"/>
      <c r="AB182"/>
      <c r="AC182"/>
      <c r="AD182"/>
    </row>
    <row r="183" spans="27:30" ht="12" customHeight="1" x14ac:dyDescent="0.25">
      <c r="AA183"/>
      <c r="AB183"/>
      <c r="AC183"/>
      <c r="AD183"/>
    </row>
    <row r="184" spans="27:30" ht="12" customHeight="1" x14ac:dyDescent="0.25">
      <c r="AA184"/>
      <c r="AB184"/>
      <c r="AC184"/>
      <c r="AD184"/>
    </row>
    <row r="185" spans="27:30" ht="12" customHeight="1" x14ac:dyDescent="0.25">
      <c r="AA185"/>
      <c r="AB185"/>
      <c r="AC185"/>
      <c r="AD185"/>
    </row>
    <row r="186" spans="27:30" ht="12" customHeight="1" x14ac:dyDescent="0.25">
      <c r="AA186"/>
      <c r="AB186"/>
      <c r="AC186"/>
      <c r="AD186"/>
    </row>
    <row r="187" spans="27:30" ht="12" customHeight="1" x14ac:dyDescent="0.25">
      <c r="AA187"/>
      <c r="AB187"/>
      <c r="AC187"/>
      <c r="AD187"/>
    </row>
    <row r="188" spans="27:30" ht="12" customHeight="1" x14ac:dyDescent="0.25">
      <c r="AA188"/>
      <c r="AB188"/>
      <c r="AC188"/>
      <c r="AD188"/>
    </row>
    <row r="189" spans="27:30" ht="12" customHeight="1" x14ac:dyDescent="0.25">
      <c r="AA189"/>
      <c r="AB189"/>
      <c r="AC189"/>
      <c r="AD189"/>
    </row>
    <row r="190" spans="27:30" ht="12" customHeight="1" x14ac:dyDescent="0.25">
      <c r="AA190"/>
      <c r="AB190"/>
      <c r="AC190"/>
      <c r="AD190"/>
    </row>
    <row r="191" spans="27:30" ht="12" customHeight="1" x14ac:dyDescent="0.25">
      <c r="AA191"/>
      <c r="AB191"/>
      <c r="AC191"/>
      <c r="AD191"/>
    </row>
    <row r="192" spans="27:30" ht="12" customHeight="1" x14ac:dyDescent="0.25">
      <c r="AA192"/>
      <c r="AB192"/>
      <c r="AC192"/>
      <c r="AD192"/>
    </row>
    <row r="193" spans="27:30" ht="12" customHeight="1" x14ac:dyDescent="0.25">
      <c r="AA193"/>
      <c r="AB193"/>
      <c r="AC193"/>
      <c r="AD193"/>
    </row>
    <row r="194" spans="27:30" ht="12" customHeight="1" x14ac:dyDescent="0.25">
      <c r="AA194"/>
      <c r="AB194"/>
      <c r="AC194"/>
      <c r="AD194"/>
    </row>
    <row r="195" spans="27:30" ht="12" customHeight="1" x14ac:dyDescent="0.25">
      <c r="AA195"/>
      <c r="AB195"/>
      <c r="AC195"/>
      <c r="AD195"/>
    </row>
    <row r="196" spans="27:30" ht="12" customHeight="1" x14ac:dyDescent="0.25">
      <c r="AA196"/>
      <c r="AB196"/>
      <c r="AC196"/>
      <c r="AD196"/>
    </row>
    <row r="197" spans="27:30" ht="12" customHeight="1" x14ac:dyDescent="0.25">
      <c r="AA197"/>
      <c r="AB197"/>
      <c r="AC197"/>
      <c r="AD197"/>
    </row>
    <row r="198" spans="27:30" ht="12" customHeight="1" x14ac:dyDescent="0.25">
      <c r="AA198"/>
      <c r="AB198"/>
      <c r="AC198"/>
      <c r="AD198"/>
    </row>
    <row r="199" spans="27:30" ht="12" customHeight="1" x14ac:dyDescent="0.25">
      <c r="AA199"/>
      <c r="AB199"/>
      <c r="AC199"/>
      <c r="AD199"/>
    </row>
    <row r="200" spans="27:30" ht="12" customHeight="1" x14ac:dyDescent="0.25">
      <c r="AA200"/>
      <c r="AB200"/>
      <c r="AC200"/>
      <c r="AD200"/>
    </row>
    <row r="201" spans="27:30" ht="12" customHeight="1" x14ac:dyDescent="0.25">
      <c r="AA201"/>
      <c r="AB201"/>
      <c r="AC201"/>
      <c r="AD201"/>
    </row>
    <row r="202" spans="27:30" ht="12" customHeight="1" x14ac:dyDescent="0.25">
      <c r="AA202"/>
      <c r="AB202"/>
      <c r="AC202"/>
      <c r="AD202"/>
    </row>
    <row r="203" spans="27:30" ht="12" customHeight="1" x14ac:dyDescent="0.25">
      <c r="AA203"/>
      <c r="AB203"/>
      <c r="AC203"/>
      <c r="AD203"/>
    </row>
    <row r="204" spans="27:30" ht="12" customHeight="1" x14ac:dyDescent="0.25">
      <c r="AA204"/>
      <c r="AB204"/>
      <c r="AC204"/>
      <c r="AD204"/>
    </row>
    <row r="205" spans="27:30" ht="12" customHeight="1" x14ac:dyDescent="0.25">
      <c r="AA205"/>
      <c r="AB205"/>
      <c r="AC205"/>
      <c r="AD205"/>
    </row>
    <row r="206" spans="27:30" ht="12" customHeight="1" x14ac:dyDescent="0.25">
      <c r="AA206"/>
      <c r="AB206"/>
      <c r="AC206"/>
      <c r="AD206"/>
    </row>
    <row r="207" spans="27:30" ht="12" customHeight="1" x14ac:dyDescent="0.25">
      <c r="AA207"/>
      <c r="AB207"/>
      <c r="AC207"/>
      <c r="AD207"/>
    </row>
    <row r="208" spans="27:30" ht="12" customHeight="1" x14ac:dyDescent="0.25">
      <c r="AA208"/>
      <c r="AB208"/>
      <c r="AC208"/>
      <c r="AD208"/>
    </row>
    <row r="209" spans="27:30" ht="12" customHeight="1" x14ac:dyDescent="0.25">
      <c r="AA209"/>
      <c r="AB209"/>
      <c r="AC209"/>
      <c r="AD209"/>
    </row>
    <row r="210" spans="27:30" ht="12" customHeight="1" x14ac:dyDescent="0.25">
      <c r="AA210"/>
      <c r="AB210"/>
      <c r="AC210"/>
      <c r="AD210"/>
    </row>
    <row r="211" spans="27:30" ht="12" customHeight="1" x14ac:dyDescent="0.25">
      <c r="AA211"/>
      <c r="AB211"/>
      <c r="AC211"/>
      <c r="AD211"/>
    </row>
    <row r="212" spans="27:30" ht="12" customHeight="1" x14ac:dyDescent="0.25">
      <c r="AA212"/>
      <c r="AB212"/>
      <c r="AC212"/>
      <c r="AD212"/>
    </row>
    <row r="213" spans="27:30" ht="12" customHeight="1" x14ac:dyDescent="0.25">
      <c r="AA213"/>
      <c r="AB213"/>
      <c r="AC213"/>
      <c r="AD213"/>
    </row>
    <row r="214" spans="27:30" ht="12" customHeight="1" x14ac:dyDescent="0.25">
      <c r="AA214"/>
      <c r="AB214"/>
      <c r="AC214"/>
      <c r="AD214"/>
    </row>
    <row r="215" spans="27:30" ht="12" customHeight="1" x14ac:dyDescent="0.25">
      <c r="AA215"/>
      <c r="AB215"/>
      <c r="AC215"/>
      <c r="AD215"/>
    </row>
    <row r="216" spans="27:30" ht="12" customHeight="1" x14ac:dyDescent="0.25">
      <c r="AA216"/>
      <c r="AB216"/>
      <c r="AC216"/>
      <c r="AD216"/>
    </row>
    <row r="217" spans="27:30" ht="12" customHeight="1" x14ac:dyDescent="0.25">
      <c r="AA217"/>
      <c r="AB217"/>
      <c r="AC217"/>
      <c r="AD217"/>
    </row>
    <row r="218" spans="27:30" ht="12" customHeight="1" x14ac:dyDescent="0.25">
      <c r="AA218"/>
      <c r="AB218"/>
      <c r="AC218"/>
      <c r="AD218"/>
    </row>
    <row r="219" spans="27:30" ht="12" customHeight="1" x14ac:dyDescent="0.25">
      <c r="AA219"/>
      <c r="AB219"/>
      <c r="AC219"/>
      <c r="AD219"/>
    </row>
    <row r="220" spans="27:30" ht="12" customHeight="1" x14ac:dyDescent="0.25">
      <c r="AA220"/>
      <c r="AB220"/>
      <c r="AC220"/>
      <c r="AD220"/>
    </row>
    <row r="221" spans="27:30" ht="12" customHeight="1" x14ac:dyDescent="0.25">
      <c r="AA221"/>
      <c r="AB221"/>
      <c r="AC221"/>
      <c r="AD221"/>
    </row>
    <row r="222" spans="27:30" ht="12" customHeight="1" x14ac:dyDescent="0.25">
      <c r="AA222"/>
      <c r="AB222"/>
      <c r="AC222"/>
      <c r="AD222"/>
    </row>
    <row r="223" spans="27:30" ht="12" customHeight="1" x14ac:dyDescent="0.25">
      <c r="AA223"/>
      <c r="AB223"/>
      <c r="AC223"/>
      <c r="AD223"/>
    </row>
    <row r="224" spans="27:30" ht="12" customHeight="1" x14ac:dyDescent="0.25">
      <c r="AA224"/>
      <c r="AB224"/>
      <c r="AC224"/>
      <c r="AD224"/>
    </row>
    <row r="225" spans="27:30" ht="12" customHeight="1" x14ac:dyDescent="0.25">
      <c r="AA225"/>
      <c r="AB225"/>
      <c r="AC225"/>
      <c r="AD225"/>
    </row>
    <row r="226" spans="27:30" ht="12" customHeight="1" x14ac:dyDescent="0.25">
      <c r="AA226"/>
      <c r="AB226"/>
      <c r="AC226"/>
      <c r="AD226"/>
    </row>
    <row r="227" spans="27:30" ht="12" customHeight="1" x14ac:dyDescent="0.25">
      <c r="AA227"/>
      <c r="AB227"/>
      <c r="AC227"/>
      <c r="AD227"/>
    </row>
    <row r="228" spans="27:30" ht="12" customHeight="1" x14ac:dyDescent="0.25">
      <c r="AA228"/>
      <c r="AB228"/>
      <c r="AC228"/>
      <c r="AD228"/>
    </row>
    <row r="229" spans="27:30" ht="12" customHeight="1" x14ac:dyDescent="0.25">
      <c r="AA229"/>
      <c r="AB229"/>
      <c r="AC229"/>
      <c r="AD229"/>
    </row>
    <row r="230" spans="27:30" ht="12" customHeight="1" x14ac:dyDescent="0.25">
      <c r="AA230"/>
      <c r="AB230"/>
      <c r="AC230"/>
      <c r="AD230"/>
    </row>
    <row r="231" spans="27:30" ht="12" customHeight="1" x14ac:dyDescent="0.25">
      <c r="AA231"/>
      <c r="AB231"/>
      <c r="AC231"/>
      <c r="AD231"/>
    </row>
    <row r="232" spans="27:30" ht="12" customHeight="1" x14ac:dyDescent="0.25">
      <c r="AA232"/>
      <c r="AB232"/>
      <c r="AC232"/>
      <c r="AD232"/>
    </row>
    <row r="233" spans="27:30" ht="12" customHeight="1" x14ac:dyDescent="0.25">
      <c r="AA233"/>
      <c r="AB233"/>
      <c r="AC233"/>
      <c r="AD233"/>
    </row>
    <row r="234" spans="27:30" ht="12" customHeight="1" x14ac:dyDescent="0.25">
      <c r="AA234"/>
      <c r="AB234"/>
      <c r="AC234"/>
      <c r="AD234"/>
    </row>
    <row r="235" spans="27:30" ht="12" customHeight="1" x14ac:dyDescent="0.25">
      <c r="AA235"/>
      <c r="AB235"/>
      <c r="AC235"/>
      <c r="AD235"/>
    </row>
    <row r="236" spans="27:30" ht="12" customHeight="1" x14ac:dyDescent="0.25">
      <c r="AA236"/>
      <c r="AB236"/>
      <c r="AC236"/>
      <c r="AD236"/>
    </row>
    <row r="237" spans="27:30" ht="12" customHeight="1" x14ac:dyDescent="0.25">
      <c r="AA237"/>
      <c r="AB237"/>
      <c r="AC237"/>
      <c r="AD237"/>
    </row>
    <row r="238" spans="27:30" ht="12" customHeight="1" x14ac:dyDescent="0.25">
      <c r="AA238"/>
      <c r="AB238"/>
      <c r="AC238"/>
      <c r="AD238"/>
    </row>
    <row r="239" spans="27:30" ht="12" customHeight="1" x14ac:dyDescent="0.25">
      <c r="AA239"/>
      <c r="AB239"/>
      <c r="AC239"/>
      <c r="AD239"/>
    </row>
    <row r="240" spans="27:30" ht="12" customHeight="1" x14ac:dyDescent="0.25">
      <c r="AA240"/>
      <c r="AB240"/>
      <c r="AC240"/>
      <c r="AD240"/>
    </row>
    <row r="241" spans="27:30" ht="12" customHeight="1" x14ac:dyDescent="0.25">
      <c r="AA241"/>
      <c r="AB241"/>
      <c r="AC241"/>
      <c r="AD241"/>
    </row>
    <row r="242" spans="27:30" ht="12" customHeight="1" x14ac:dyDescent="0.25">
      <c r="AA242"/>
      <c r="AB242"/>
      <c r="AC242"/>
      <c r="AD242"/>
    </row>
    <row r="243" spans="27:30" ht="12" customHeight="1" x14ac:dyDescent="0.25">
      <c r="AA243"/>
      <c r="AB243"/>
      <c r="AC243"/>
      <c r="AD243"/>
    </row>
    <row r="244" spans="27:30" ht="12" customHeight="1" x14ac:dyDescent="0.25">
      <c r="AA244"/>
      <c r="AB244"/>
      <c r="AC244"/>
      <c r="AD244"/>
    </row>
    <row r="245" spans="27:30" ht="12" customHeight="1" x14ac:dyDescent="0.25">
      <c r="AA245"/>
      <c r="AB245"/>
      <c r="AC245"/>
      <c r="AD24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O64"/>
  <sheetViews>
    <sheetView showGridLines="0" showRowColHeaders="0" zoomScaleNormal="100" workbookViewId="0">
      <pane xSplit="1" topLeftCell="B1" activePane="topRight" state="frozenSplit"/>
      <selection pane="topRight"/>
    </sheetView>
  </sheetViews>
  <sheetFormatPr defaultRowHeight="12" customHeight="1" outlineLevelRow="1" x14ac:dyDescent="0.2"/>
  <cols>
    <col min="1" max="1" width="17.7109375" style="4" customWidth="1"/>
    <col min="2" max="10" width="9.7109375" style="4" customWidth="1"/>
    <col min="11" max="300" width="9.140625" style="4"/>
    <col min="301" max="301" width="74.42578125" style="4" bestFit="1" customWidth="1"/>
    <col min="302" max="16384" width="9.140625" style="4"/>
  </cols>
  <sheetData>
    <row r="1" spans="1:301" ht="12" customHeight="1" x14ac:dyDescent="0.25">
      <c r="A1" s="5" t="s">
        <v>7</v>
      </c>
      <c r="B1" s="4" t="s">
        <v>46</v>
      </c>
      <c r="U1" s="13"/>
      <c r="W1" s="13" t="s">
        <v>35</v>
      </c>
      <c r="X1" s="13">
        <v>10</v>
      </c>
      <c r="Z1" s="19" t="s">
        <v>45</v>
      </c>
      <c r="JV1"/>
      <c r="KO1" s="18" t="s">
        <v>45</v>
      </c>
    </row>
    <row r="2" spans="1:301" ht="12" customHeight="1" outlineLevel="1" thickBot="1" x14ac:dyDescent="0.25">
      <c r="A2" s="7" t="s">
        <v>8</v>
      </c>
      <c r="B2" s="7" t="s">
        <v>9</v>
      </c>
      <c r="C2" s="7" t="s">
        <v>10</v>
      </c>
      <c r="D2" s="7" t="s">
        <v>11</v>
      </c>
      <c r="E2" s="7" t="s">
        <v>12</v>
      </c>
      <c r="F2" s="7" t="s">
        <v>13</v>
      </c>
      <c r="G2" s="7" t="s">
        <v>14</v>
      </c>
      <c r="H2" s="7" t="s">
        <v>15</v>
      </c>
      <c r="I2" s="7" t="s">
        <v>16</v>
      </c>
      <c r="J2" s="6"/>
    </row>
    <row r="3" spans="1:301" ht="12" customHeight="1" outlineLevel="1" x14ac:dyDescent="0.2">
      <c r="A3" s="9" t="s">
        <v>6</v>
      </c>
      <c r="B3" s="10">
        <v>245</v>
      </c>
      <c r="C3" s="4">
        <v>161.77142857142857</v>
      </c>
      <c r="D3" s="4">
        <v>162</v>
      </c>
      <c r="E3" s="4">
        <v>12.979681473269713</v>
      </c>
      <c r="F3" s="4">
        <v>162.28918507354928</v>
      </c>
      <c r="G3" s="4">
        <v>0.8292414314435913</v>
      </c>
      <c r="H3" s="4">
        <v>114</v>
      </c>
      <c r="I3" s="4">
        <v>203</v>
      </c>
    </row>
    <row r="4" spans="1:301" ht="12" customHeight="1" outlineLevel="1" x14ac:dyDescent="0.2">
      <c r="A4" s="9" t="s">
        <v>1</v>
      </c>
      <c r="B4" s="10">
        <v>245</v>
      </c>
      <c r="C4" s="4">
        <v>35.991836734693877</v>
      </c>
      <c r="D4" s="4">
        <v>36</v>
      </c>
      <c r="E4" s="4">
        <v>10.164221981923919</v>
      </c>
      <c r="F4" s="4">
        <v>37.393877049810264</v>
      </c>
      <c r="G4" s="4">
        <v>0.64936832257084343</v>
      </c>
      <c r="H4" s="4">
        <v>4</v>
      </c>
      <c r="I4" s="4">
        <v>66</v>
      </c>
    </row>
    <row r="5" spans="1:301" ht="12" customHeight="1" outlineLevel="1" x14ac:dyDescent="0.2">
      <c r="A5" s="9" t="s">
        <v>2</v>
      </c>
      <c r="B5" s="10">
        <v>245</v>
      </c>
      <c r="C5" s="4">
        <v>1.2244897959183674</v>
      </c>
      <c r="D5" s="4">
        <v>1</v>
      </c>
      <c r="E5" s="4">
        <v>10.059791140570645</v>
      </c>
      <c r="F5" s="4">
        <v>10.113640011673061</v>
      </c>
      <c r="G5" s="4">
        <v>0.64269648085046016</v>
      </c>
      <c r="H5" s="4">
        <v>-25</v>
      </c>
      <c r="I5" s="4">
        <v>28</v>
      </c>
    </row>
    <row r="6" spans="1:301" ht="12" customHeight="1" x14ac:dyDescent="0.2">
      <c r="A6" s="17"/>
    </row>
    <row r="7" spans="1:301" ht="12" customHeight="1" x14ac:dyDescent="0.2">
      <c r="A7" s="5" t="s">
        <v>37</v>
      </c>
      <c r="C7" s="13" t="s">
        <v>44</v>
      </c>
    </row>
    <row r="8" spans="1:301" ht="12" customHeight="1" outlineLevel="1" x14ac:dyDescent="0.2">
      <c r="A8" s="4" t="s">
        <v>39</v>
      </c>
    </row>
    <row r="9" spans="1:301" ht="12" customHeight="1" outlineLevel="1" x14ac:dyDescent="0.2"/>
    <row r="10" spans="1:301" ht="12" customHeight="1" outlineLevel="1" x14ac:dyDescent="0.2"/>
    <row r="11" spans="1:301" ht="12" customHeight="1" outlineLevel="1" x14ac:dyDescent="0.2"/>
    <row r="12" spans="1:301" ht="12" customHeight="1" outlineLevel="1" x14ac:dyDescent="0.2"/>
    <row r="13" spans="1:301" ht="12" customHeight="1" outlineLevel="1" x14ac:dyDescent="0.2"/>
    <row r="14" spans="1:301" ht="12" customHeight="1" outlineLevel="1" x14ac:dyDescent="0.2"/>
    <row r="15" spans="1:301" ht="12" customHeight="1" outlineLevel="1" x14ac:dyDescent="0.2"/>
    <row r="16" spans="1:301" ht="12" customHeight="1" outlineLevel="1" x14ac:dyDescent="0.2"/>
    <row r="17" spans="1:1" ht="12" customHeight="1" outlineLevel="1" x14ac:dyDescent="0.2"/>
    <row r="18" spans="1:1" ht="12" customHeight="1" outlineLevel="1" x14ac:dyDescent="0.2">
      <c r="A18" s="4" t="s">
        <v>39</v>
      </c>
    </row>
    <row r="19" spans="1:1" ht="12" customHeight="1" outlineLevel="1" x14ac:dyDescent="0.2"/>
    <row r="20" spans="1:1" ht="12" customHeight="1" outlineLevel="1" x14ac:dyDescent="0.2"/>
    <row r="21" spans="1:1" ht="12" customHeight="1" outlineLevel="1" x14ac:dyDescent="0.2"/>
    <row r="22" spans="1:1" ht="12" customHeight="1" outlineLevel="1" x14ac:dyDescent="0.2"/>
    <row r="23" spans="1:1" ht="12" customHeight="1" outlineLevel="1" x14ac:dyDescent="0.2"/>
    <row r="24" spans="1:1" ht="12" customHeight="1" outlineLevel="1" x14ac:dyDescent="0.2"/>
    <row r="25" spans="1:1" ht="12" customHeight="1" outlineLevel="1" x14ac:dyDescent="0.2"/>
    <row r="26" spans="1:1" ht="12" customHeight="1" outlineLevel="1" x14ac:dyDescent="0.2"/>
    <row r="27" spans="1:1" ht="12" customHeight="1" outlineLevel="1" x14ac:dyDescent="0.2"/>
    <row r="28" spans="1:1" ht="12" customHeight="1" outlineLevel="1" x14ac:dyDescent="0.2">
      <c r="A28" s="4" t="s">
        <v>39</v>
      </c>
    </row>
    <row r="29" spans="1:1" ht="12" customHeight="1" outlineLevel="1" x14ac:dyDescent="0.2"/>
    <row r="30" spans="1:1" ht="12" customHeight="1" outlineLevel="1" x14ac:dyDescent="0.2"/>
    <row r="31" spans="1:1" ht="12" customHeight="1" outlineLevel="1" x14ac:dyDescent="0.2"/>
    <row r="32" spans="1:1" ht="12" customHeight="1" outlineLevel="1" x14ac:dyDescent="0.2"/>
    <row r="33" spans="1:4" ht="12" customHeight="1" outlineLevel="1" x14ac:dyDescent="0.2"/>
    <row r="34" spans="1:4" ht="12" customHeight="1" outlineLevel="1" x14ac:dyDescent="0.2"/>
    <row r="35" spans="1:4" ht="12" customHeight="1" outlineLevel="1" x14ac:dyDescent="0.2"/>
    <row r="36" spans="1:4" ht="12" customHeight="1" outlineLevel="1" x14ac:dyDescent="0.2"/>
    <row r="37" spans="1:4" ht="12" customHeight="1" outlineLevel="1" x14ac:dyDescent="0.2"/>
    <row r="38" spans="1:4" ht="12" customHeight="1" x14ac:dyDescent="0.2">
      <c r="A38" s="20"/>
    </row>
    <row r="39" spans="1:4" ht="12" customHeight="1" x14ac:dyDescent="0.2">
      <c r="A39" s="5" t="s">
        <v>25</v>
      </c>
    </row>
    <row r="40" spans="1:4" ht="12" customHeight="1" outlineLevel="1" thickBot="1" x14ac:dyDescent="0.25">
      <c r="A40" s="7" t="s">
        <v>8</v>
      </c>
      <c r="B40" s="8" t="s">
        <v>26</v>
      </c>
    </row>
    <row r="41" spans="1:4" ht="12" customHeight="1" outlineLevel="1" thickBot="1" x14ac:dyDescent="0.25">
      <c r="A41" s="6" t="s">
        <v>6</v>
      </c>
      <c r="B41" s="15">
        <v>1</v>
      </c>
      <c r="C41" s="16" t="s">
        <v>27</v>
      </c>
    </row>
    <row r="42" spans="1:4" ht="12" customHeight="1" outlineLevel="1" thickBot="1" x14ac:dyDescent="0.25">
      <c r="A42" s="6" t="s">
        <v>1</v>
      </c>
      <c r="B42" s="4">
        <v>0.70348482491699826</v>
      </c>
      <c r="C42" s="15">
        <v>1</v>
      </c>
      <c r="D42" s="16" t="s">
        <v>28</v>
      </c>
    </row>
    <row r="43" spans="1:4" ht="12" customHeight="1" outlineLevel="1" x14ac:dyDescent="0.2">
      <c r="A43" s="6" t="s">
        <v>2</v>
      </c>
      <c r="B43" s="4">
        <v>-1.7276594648682416E-2</v>
      </c>
      <c r="C43" s="4">
        <v>4.9919819857905882E-2</v>
      </c>
      <c r="D43" s="15">
        <v>1</v>
      </c>
    </row>
    <row r="44" spans="1:4" ht="12" customHeight="1" x14ac:dyDescent="0.2">
      <c r="A44" s="17"/>
    </row>
    <row r="45" spans="1:4" ht="12" customHeight="1" x14ac:dyDescent="0.2">
      <c r="A45" s="5" t="s">
        <v>41</v>
      </c>
      <c r="C45" s="13" t="s">
        <v>44</v>
      </c>
    </row>
    <row r="46" spans="1:4" ht="12" customHeight="1" outlineLevel="1" x14ac:dyDescent="0.2">
      <c r="A46" s="4" t="s">
        <v>39</v>
      </c>
    </row>
    <row r="47" spans="1:4" ht="12" customHeight="1" outlineLevel="1" x14ac:dyDescent="0.2"/>
    <row r="48" spans="1:4" ht="12" customHeight="1" outlineLevel="1" x14ac:dyDescent="0.2"/>
    <row r="49" spans="1:1" ht="12" customHeight="1" outlineLevel="1" x14ac:dyDescent="0.2"/>
    <row r="50" spans="1:1" ht="12" customHeight="1" outlineLevel="1" x14ac:dyDescent="0.2"/>
    <row r="51" spans="1:1" ht="12" customHeight="1" outlineLevel="1" x14ac:dyDescent="0.2"/>
    <row r="52" spans="1:1" ht="12" customHeight="1" outlineLevel="1" x14ac:dyDescent="0.2"/>
    <row r="53" spans="1:1" ht="12" customHeight="1" outlineLevel="1" x14ac:dyDescent="0.2"/>
    <row r="54" spans="1:1" ht="12" customHeight="1" outlineLevel="1" x14ac:dyDescent="0.2"/>
    <row r="55" spans="1:1" ht="12" customHeight="1" outlineLevel="1" x14ac:dyDescent="0.2"/>
    <row r="56" spans="1:1" ht="12" customHeight="1" outlineLevel="1" x14ac:dyDescent="0.2"/>
    <row r="57" spans="1:1" ht="12" customHeight="1" outlineLevel="1" x14ac:dyDescent="0.2"/>
    <row r="58" spans="1:1" ht="12" customHeight="1" outlineLevel="1" x14ac:dyDescent="0.2"/>
    <row r="59" spans="1:1" ht="12" customHeight="1" outlineLevel="1" x14ac:dyDescent="0.2"/>
    <row r="60" spans="1:1" ht="12" customHeight="1" outlineLevel="1" x14ac:dyDescent="0.2"/>
    <row r="61" spans="1:1" ht="12" customHeight="1" outlineLevel="1" x14ac:dyDescent="0.2"/>
    <row r="62" spans="1:1" ht="12" customHeight="1" outlineLevel="1" x14ac:dyDescent="0.2"/>
    <row r="63" spans="1:1" ht="12" customHeight="1" x14ac:dyDescent="0.2">
      <c r="A63" s="20"/>
    </row>
    <row r="64" spans="1:1" ht="12" customHeight="1" x14ac:dyDescent="0.2">
      <c r="A64" s="13" t="s">
        <v>32</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ZZ298"/>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9.140625" style="21" customWidth="1"/>
    <col min="79" max="16384" width="9.140625" style="21"/>
  </cols>
  <sheetData>
    <row r="1" spans="1:78" x14ac:dyDescent="0.2">
      <c r="A1" s="22" t="s">
        <v>47</v>
      </c>
      <c r="B1" s="21" t="s">
        <v>48</v>
      </c>
      <c r="M1" s="23" t="s">
        <v>129</v>
      </c>
      <c r="N1" s="23" t="s">
        <v>130</v>
      </c>
      <c r="O1" s="23" t="s">
        <v>135</v>
      </c>
      <c r="Q1" s="23" t="s">
        <v>69</v>
      </c>
      <c r="R1" s="23" t="s">
        <v>49</v>
      </c>
      <c r="T1" s="39" t="s">
        <v>24</v>
      </c>
      <c r="U1" s="23" t="s">
        <v>136</v>
      </c>
      <c r="Z1" s="58" t="s">
        <v>50</v>
      </c>
      <c r="AR1" s="47"/>
      <c r="BZ1" s="24" t="s">
        <v>50</v>
      </c>
    </row>
    <row r="2" spans="1:78" x14ac:dyDescent="0.2">
      <c r="A2" s="22" t="s">
        <v>51</v>
      </c>
      <c r="C2" s="21" t="s">
        <v>6</v>
      </c>
      <c r="Q2" s="23" t="s">
        <v>118</v>
      </c>
      <c r="R2" s="23" t="s">
        <v>132</v>
      </c>
      <c r="S2" s="23" t="s">
        <v>166</v>
      </c>
      <c r="T2" s="23" t="s">
        <v>167</v>
      </c>
    </row>
    <row r="3" spans="1:78" outlineLevel="1" x14ac:dyDescent="0.2">
      <c r="A3" s="22" t="s">
        <v>52</v>
      </c>
    </row>
    <row r="4" spans="1:78" outlineLevel="1" x14ac:dyDescent="0.2">
      <c r="A4" s="21" t="s">
        <v>53</v>
      </c>
    </row>
    <row r="5" spans="1:78" outlineLevel="1" x14ac:dyDescent="0.2">
      <c r="A5" s="22" t="s">
        <v>54</v>
      </c>
    </row>
    <row r="6" spans="1:78" outlineLevel="1" x14ac:dyDescent="0.2">
      <c r="A6" s="21" t="s">
        <v>55</v>
      </c>
    </row>
    <row r="7" spans="1:78" x14ac:dyDescent="0.2">
      <c r="A7" s="47"/>
      <c r="J7" s="23" t="s">
        <v>133</v>
      </c>
      <c r="K7" s="23" t="s">
        <v>134</v>
      </c>
    </row>
    <row r="8" spans="1:78" hidden="1" x14ac:dyDescent="0.2">
      <c r="A8" s="25" t="s">
        <v>56</v>
      </c>
    </row>
    <row r="9" spans="1:78" ht="12" outlineLevel="1" thickBot="1" x14ac:dyDescent="0.25">
      <c r="A9" s="26"/>
      <c r="B9" s="31" t="s">
        <v>57</v>
      </c>
      <c r="C9" s="31" t="s">
        <v>58</v>
      </c>
      <c r="D9" s="31" t="s">
        <v>59</v>
      </c>
      <c r="E9" s="31" t="s">
        <v>60</v>
      </c>
      <c r="F9" s="31" t="s">
        <v>9</v>
      </c>
      <c r="G9" s="31" t="s">
        <v>61</v>
      </c>
      <c r="H9" s="31" t="str">
        <f>"t("&amp;TEXT((1-I10)/2,"0.00%") &amp; ",240)"</f>
        <v>t(2.50%,240)</v>
      </c>
      <c r="I9" s="31" t="s">
        <v>62</v>
      </c>
    </row>
    <row r="10" spans="1:78" outlineLevel="1" x14ac:dyDescent="0.2">
      <c r="B10" s="9">
        <f xml:space="preserve"> 1 - C23 / C24</f>
        <v>0.67324000356110525</v>
      </c>
      <c r="C10" s="9">
        <f>1-D10^2/E10^2</f>
        <v>0.66779400362045704</v>
      </c>
      <c r="D10" s="9">
        <f xml:space="preserve"> SQRT(D23)</f>
        <v>7.4811397654404148</v>
      </c>
      <c r="E10" s="9">
        <f xml:space="preserve"> SQRT(C24 / B24)</f>
        <v>12.979681473269709</v>
      </c>
      <c r="F10" s="32">
        <v>245</v>
      </c>
      <c r="G10" s="32">
        <v>5</v>
      </c>
      <c r="H10" s="33">
        <f>TINV(1 - $I$10, F10 - 4 - 1)</f>
        <v>1.9698976350766919</v>
      </c>
      <c r="I10" s="34">
        <v>0.95</v>
      </c>
    </row>
    <row r="11" spans="1:78" x14ac:dyDescent="0.2">
      <c r="A11" s="47"/>
    </row>
    <row r="12" spans="1:78" hidden="1" x14ac:dyDescent="0.2">
      <c r="A12" s="25" t="s">
        <v>63</v>
      </c>
    </row>
    <row r="13" spans="1:78" ht="12" outlineLevel="1" thickBot="1" x14ac:dyDescent="0.25">
      <c r="A13" s="35" t="s">
        <v>64</v>
      </c>
      <c r="B13" s="28" t="s">
        <v>65</v>
      </c>
      <c r="C13" s="28" t="s">
        <v>66</v>
      </c>
      <c r="D13" s="28" t="s">
        <v>67</v>
      </c>
      <c r="E13" s="28" t="s">
        <v>68</v>
      </c>
      <c r="F13" s="28" t="str">
        <f>IF($I$10&gt;99%,("Lower"&amp;TEXT($I$10,"0.0%")),("Lower"&amp;TEXT($I$10,"0%")))</f>
        <v>Lower95%</v>
      </c>
      <c r="G13" s="28" t="str">
        <f>IF($I$10&gt;99%,("Upper"&amp;TEXT($I$10,"0.0%")),("Upper"&amp;TEXT($I$10,"0%")))</f>
        <v>Upper95%</v>
      </c>
      <c r="H13" s="31" t="s">
        <v>71</v>
      </c>
      <c r="I13" s="31" t="s">
        <v>70</v>
      </c>
    </row>
    <row r="14" spans="1:78" outlineLevel="1" x14ac:dyDescent="0.2">
      <c r="A14" s="36" t="s">
        <v>72</v>
      </c>
      <c r="B14" s="6">
        <v>99.754728816893845</v>
      </c>
      <c r="C14" s="6">
        <v>3.1616380443396896</v>
      </c>
      <c r="D14" s="6">
        <f>B14 / C14</f>
        <v>31.551596804537976</v>
      </c>
      <c r="E14" s="6">
        <f>TDIST(ABS(D14),$F$10 - 5,2)</f>
        <v>2.301084429930382E-87</v>
      </c>
      <c r="F14" s="6">
        <f>B14 - $H$10 * C14</f>
        <v>93.526625510380597</v>
      </c>
      <c r="G14" s="6">
        <f>B14 + $H$10 * C14</f>
        <v>105.98283212340709</v>
      </c>
      <c r="H14" s="9">
        <v>0</v>
      </c>
      <c r="I14" s="9">
        <v>0</v>
      </c>
    </row>
    <row r="15" spans="1:78" outlineLevel="1" x14ac:dyDescent="0.2">
      <c r="A15" s="36" t="s">
        <v>1</v>
      </c>
      <c r="B15" s="6">
        <v>0.6106884128537321</v>
      </c>
      <c r="C15" s="6">
        <v>0.14450992693224385</v>
      </c>
      <c r="D15" s="63">
        <f t="shared" ref="D15:D18" si="0">B15 / C15</f>
        <v>4.2259270751694773</v>
      </c>
      <c r="E15" s="6">
        <f t="shared" ref="E15:E18" si="1">TDIST(ABS(D15),$F$10 - 5,2)</f>
        <v>3.38279093651483E-5</v>
      </c>
      <c r="F15" s="6">
        <f t="shared" ref="F15:F18" si="2">B15 - $H$10 * C15</f>
        <v>0.32601864954479942</v>
      </c>
      <c r="G15" s="6">
        <f t="shared" ref="G15:G18" si="3">B15 + $H$10 * C15</f>
        <v>0.89535817616266478</v>
      </c>
      <c r="H15" s="9">
        <v>9.4058475372583299</v>
      </c>
      <c r="I15" s="69">
        <f>B15*10.1642219819239/$E$10</f>
        <v>0.47822225859834405</v>
      </c>
    </row>
    <row r="16" spans="1:78" outlineLevel="1" x14ac:dyDescent="0.2">
      <c r="A16" s="36" t="s">
        <v>2</v>
      </c>
      <c r="B16" s="6">
        <v>-6.6304834488020506E-2</v>
      </c>
      <c r="C16" s="6">
        <v>4.7922981224540383E-2</v>
      </c>
      <c r="D16" s="63">
        <f t="shared" si="0"/>
        <v>-1.3835707377500788</v>
      </c>
      <c r="E16" s="6">
        <f t="shared" si="1"/>
        <v>0.16777544633552324</v>
      </c>
      <c r="F16" s="6">
        <f t="shared" si="2"/>
        <v>-0.16070820186806734</v>
      </c>
      <c r="G16" s="6">
        <f t="shared" si="3"/>
        <v>2.8098532892026309E-2</v>
      </c>
      <c r="H16" s="9">
        <v>1.0132576043675758</v>
      </c>
      <c r="I16" s="69">
        <f>B16*10.0597911405706/$E$10</f>
        <v>-5.1388995017576621E-2</v>
      </c>
    </row>
    <row r="17" spans="1:9" outlineLevel="1" x14ac:dyDescent="0.2">
      <c r="A17" s="36" t="s">
        <v>3</v>
      </c>
      <c r="B17" s="6">
        <v>5.3666679829299589E-2</v>
      </c>
      <c r="C17" s="37">
        <v>4.7585425615532077E-3</v>
      </c>
      <c r="D17" s="63">
        <f t="shared" si="0"/>
        <v>11.277965708009253</v>
      </c>
      <c r="E17" s="6">
        <f t="shared" si="1"/>
        <v>5.9753895778220466E-24</v>
      </c>
      <c r="F17" s="6">
        <f t="shared" si="2"/>
        <v>4.4292838090884142E-2</v>
      </c>
      <c r="G17" s="6">
        <f t="shared" si="3"/>
        <v>6.304052156771503E-2</v>
      </c>
      <c r="H17" s="9">
        <v>1.0118983408662894</v>
      </c>
      <c r="I17" s="69">
        <f>B17*101.2435440036/$E$10</f>
        <v>0.41860848989355648</v>
      </c>
    </row>
    <row r="18" spans="1:9" outlineLevel="1" x14ac:dyDescent="0.2">
      <c r="A18" s="36" t="s">
        <v>4</v>
      </c>
      <c r="B18" s="6">
        <v>0.31609650338849304</v>
      </c>
      <c r="C18" s="6">
        <v>0.13439538325271064</v>
      </c>
      <c r="D18" s="63">
        <f t="shared" si="0"/>
        <v>2.3519893000648713</v>
      </c>
      <c r="E18" s="6">
        <f t="shared" si="1"/>
        <v>1.9482236741084579E-2</v>
      </c>
      <c r="F18" s="6">
        <f t="shared" si="2"/>
        <v>5.1351355753752714E-2</v>
      </c>
      <c r="G18" s="6">
        <f t="shared" si="3"/>
        <v>0.58084165102323337</v>
      </c>
      <c r="H18" s="9">
        <v>9.4194882774084459</v>
      </c>
      <c r="I18" s="69">
        <f>B18*10.9370994263025/$E$10</f>
        <v>0.26635313763178325</v>
      </c>
    </row>
    <row r="19" spans="1:9" x14ac:dyDescent="0.2">
      <c r="A19" s="47"/>
    </row>
    <row r="20" spans="1:9" hidden="1" x14ac:dyDescent="0.2">
      <c r="A20" s="25" t="s">
        <v>73</v>
      </c>
    </row>
    <row r="21" spans="1:9" ht="12" outlineLevel="1" thickBot="1" x14ac:dyDescent="0.25">
      <c r="A21" s="35" t="s">
        <v>74</v>
      </c>
      <c r="B21" s="28" t="s">
        <v>78</v>
      </c>
      <c r="C21" s="28" t="s">
        <v>79</v>
      </c>
      <c r="D21" s="28" t="s">
        <v>80</v>
      </c>
      <c r="E21" s="28" t="s">
        <v>81</v>
      </c>
      <c r="F21" s="28" t="s">
        <v>68</v>
      </c>
    </row>
    <row r="22" spans="1:9" outlineLevel="1" x14ac:dyDescent="0.2">
      <c r="A22" s="21" t="s">
        <v>75</v>
      </c>
      <c r="B22" s="30">
        <v>4</v>
      </c>
      <c r="C22" s="38">
        <f>C24 - C23</f>
        <v>27675.011474387058</v>
      </c>
      <c r="D22" s="38">
        <f>C22/B22</f>
        <v>6918.7528685967645</v>
      </c>
      <c r="E22" s="29">
        <f>D22/D23</f>
        <v>123.62100824425801</v>
      </c>
      <c r="F22" s="29">
        <f>FDIST(E22,4,240)</f>
        <v>4.170227588922834E-57</v>
      </c>
    </row>
    <row r="23" spans="1:9" outlineLevel="1" x14ac:dyDescent="0.2">
      <c r="A23" s="21" t="s">
        <v>76</v>
      </c>
      <c r="B23" s="30">
        <v>240</v>
      </c>
      <c r="C23" s="38">
        <v>13432.188525612926</v>
      </c>
      <c r="D23" s="29">
        <f>C23/B23</f>
        <v>55.967452190053862</v>
      </c>
    </row>
    <row r="24" spans="1:9" outlineLevel="1" x14ac:dyDescent="0.2">
      <c r="A24" s="21" t="s">
        <v>77</v>
      </c>
      <c r="B24" s="30">
        <f>B22 + B23</f>
        <v>244</v>
      </c>
      <c r="C24" s="38">
        <v>41107.199999999983</v>
      </c>
    </row>
    <row r="25" spans="1:9" x14ac:dyDescent="0.2">
      <c r="A25" s="47"/>
    </row>
    <row r="26" spans="1:9" hidden="1" x14ac:dyDescent="0.2">
      <c r="A26" s="25" t="s">
        <v>82</v>
      </c>
    </row>
    <row r="27" spans="1:9" ht="12" outlineLevel="1" thickBot="1" x14ac:dyDescent="0.25">
      <c r="A27" s="26"/>
      <c r="B27" s="28" t="s">
        <v>86</v>
      </c>
      <c r="C27" s="28" t="s">
        <v>87</v>
      </c>
      <c r="D27" s="28" t="s">
        <v>88</v>
      </c>
      <c r="E27" s="28" t="s">
        <v>15</v>
      </c>
      <c r="F27" s="28" t="s">
        <v>16</v>
      </c>
      <c r="G27" s="31" t="s">
        <v>83</v>
      </c>
      <c r="H27" s="31" t="s">
        <v>90</v>
      </c>
      <c r="I27" s="31" t="s">
        <v>84</v>
      </c>
    </row>
    <row r="28" spans="1:9" outlineLevel="1" x14ac:dyDescent="0.2">
      <c r="A28" s="21" t="s">
        <v>85</v>
      </c>
      <c r="B28" s="6">
        <v>9.9766000449581411E-15</v>
      </c>
      <c r="C28" s="6">
        <v>7.4044080984381209</v>
      </c>
      <c r="D28" s="6">
        <v>6.0628661527359125</v>
      </c>
      <c r="E28" s="6">
        <v>-17.196391373704444</v>
      </c>
      <c r="F28" s="6">
        <v>18.1233381496059</v>
      </c>
      <c r="G28" s="34">
        <v>3.7756477018056886E-2</v>
      </c>
      <c r="H28" s="33" t="s">
        <v>89</v>
      </c>
      <c r="I28" s="9">
        <v>0.52626799760496712</v>
      </c>
    </row>
    <row r="29" spans="1:9" outlineLevel="1" x14ac:dyDescent="0.2"/>
    <row r="30" spans="1:9" x14ac:dyDescent="0.2">
      <c r="A30" s="47"/>
    </row>
    <row r="31" spans="1:9" hidden="1" x14ac:dyDescent="0.2">
      <c r="A31" s="25" t="s">
        <v>91</v>
      </c>
    </row>
    <row r="32" spans="1:9" ht="12" outlineLevel="1" thickBot="1" x14ac:dyDescent="0.25">
      <c r="A32" s="27" t="s">
        <v>92</v>
      </c>
      <c r="B32" s="40">
        <v>1</v>
      </c>
      <c r="C32" s="40">
        <v>2</v>
      </c>
      <c r="D32" s="40">
        <v>3</v>
      </c>
      <c r="E32" s="40">
        <v>4</v>
      </c>
    </row>
    <row r="33" spans="1:702" outlineLevel="1" x14ac:dyDescent="0.2">
      <c r="A33" s="21" t="s">
        <v>93</v>
      </c>
      <c r="B33" s="70">
        <v>0.32818142684839685</v>
      </c>
      <c r="C33" s="70">
        <v>0.25450610414823926</v>
      </c>
      <c r="D33" s="70">
        <v>6.5291512497950038E-2</v>
      </c>
      <c r="E33" s="70">
        <v>0.13650879182197903</v>
      </c>
    </row>
    <row r="34" spans="1:702" outlineLevel="1" x14ac:dyDescent="0.2">
      <c r="A34" s="23" t="s">
        <v>94</v>
      </c>
      <c r="B34" s="23">
        <f>B33/0.064018439966448</f>
        <v>5.1263577653625489</v>
      </c>
      <c r="C34" s="23">
        <f>C33/0.0641500299099584</f>
        <v>3.967357528990501</v>
      </c>
      <c r="D34" s="23">
        <f>D33/0.0642824346533225</f>
        <v>1.0156975673069872</v>
      </c>
      <c r="E34" s="23">
        <f>E33/0.0644156626400831</f>
        <v>2.1191863318197939</v>
      </c>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c r="EE34" s="39"/>
      <c r="EF34" s="39"/>
      <c r="EG34" s="39"/>
      <c r="EH34" s="39"/>
      <c r="EI34" s="39"/>
      <c r="EJ34" s="39"/>
      <c r="EK34" s="39"/>
      <c r="EL34" s="39"/>
      <c r="EM34" s="39"/>
      <c r="EN34" s="39"/>
      <c r="EO34" s="39"/>
      <c r="EP34" s="39"/>
      <c r="EQ34" s="39"/>
      <c r="ER34" s="39"/>
      <c r="ES34" s="39"/>
      <c r="ET34" s="39"/>
      <c r="EU34" s="39"/>
      <c r="EV34" s="39"/>
      <c r="EW34" s="39"/>
      <c r="EX34" s="39"/>
      <c r="EY34" s="39"/>
      <c r="EZ34" s="39"/>
      <c r="FA34" s="39"/>
      <c r="FB34" s="39"/>
      <c r="FC34" s="39"/>
      <c r="FD34" s="39"/>
      <c r="FE34" s="39"/>
      <c r="FF34" s="39"/>
      <c r="FG34" s="39"/>
      <c r="FH34" s="39"/>
      <c r="FI34" s="39"/>
      <c r="FJ34" s="39"/>
      <c r="FK34" s="39"/>
      <c r="FL34" s="39"/>
      <c r="FM34" s="39"/>
      <c r="FN34" s="39"/>
      <c r="FO34" s="39"/>
      <c r="FP34" s="39"/>
      <c r="FQ34" s="39"/>
      <c r="FR34" s="39"/>
      <c r="FS34" s="39"/>
      <c r="FT34" s="39"/>
      <c r="FU34" s="39"/>
      <c r="FV34" s="39"/>
      <c r="FW34" s="39"/>
      <c r="FX34" s="39"/>
      <c r="FY34" s="39"/>
      <c r="FZ34" s="39"/>
      <c r="GA34" s="39"/>
      <c r="GB34" s="39"/>
      <c r="GC34" s="39"/>
      <c r="GD34" s="39"/>
      <c r="GE34" s="39"/>
      <c r="GF34" s="39"/>
      <c r="GG34" s="39"/>
      <c r="GH34" s="39"/>
      <c r="GI34" s="39"/>
      <c r="GJ34" s="39"/>
      <c r="GK34" s="39"/>
      <c r="GL34" s="39"/>
      <c r="GM34" s="39"/>
      <c r="GN34" s="39"/>
      <c r="GO34" s="39"/>
      <c r="GP34" s="39"/>
      <c r="GQ34" s="39"/>
      <c r="GR34" s="39"/>
      <c r="GS34" s="39"/>
      <c r="GT34" s="39"/>
      <c r="GU34" s="39"/>
      <c r="GV34" s="39"/>
      <c r="GW34" s="39"/>
      <c r="GX34" s="39"/>
      <c r="GY34" s="39"/>
      <c r="GZ34" s="39"/>
      <c r="HA34" s="39"/>
      <c r="HB34" s="39"/>
      <c r="HC34" s="39"/>
      <c r="HD34" s="39"/>
      <c r="HE34" s="39"/>
      <c r="HF34" s="39"/>
      <c r="HG34" s="39"/>
      <c r="HH34" s="39"/>
      <c r="HI34" s="39"/>
      <c r="HJ34" s="39"/>
      <c r="HK34" s="39"/>
      <c r="HL34" s="39"/>
      <c r="HM34" s="39"/>
      <c r="HN34" s="39"/>
      <c r="HO34" s="39"/>
      <c r="HP34" s="39"/>
      <c r="HQ34" s="39"/>
      <c r="HR34" s="39"/>
      <c r="HS34" s="39"/>
      <c r="HT34" s="39"/>
      <c r="HU34" s="39"/>
      <c r="HV34" s="39"/>
      <c r="HW34" s="39"/>
      <c r="HX34" s="39"/>
      <c r="HY34" s="39"/>
      <c r="HZ34" s="39"/>
      <c r="IA34" s="39"/>
      <c r="IB34" s="39"/>
      <c r="IC34" s="39"/>
      <c r="ID34" s="39"/>
      <c r="IE34" s="39"/>
      <c r="IF34" s="39"/>
      <c r="IG34" s="39"/>
      <c r="IH34" s="39"/>
      <c r="II34" s="39"/>
      <c r="IJ34" s="39"/>
      <c r="IK34" s="39"/>
      <c r="IL34" s="39"/>
      <c r="IM34" s="39"/>
      <c r="IN34" s="39"/>
      <c r="IO34" s="39"/>
      <c r="IP34" s="39"/>
      <c r="IQ34" s="39"/>
      <c r="IR34" s="39"/>
      <c r="IS34" s="39"/>
      <c r="IT34" s="39"/>
      <c r="IU34" s="39"/>
      <c r="IV34" s="39"/>
      <c r="IW34" s="39"/>
      <c r="IX34" s="39"/>
      <c r="IY34" s="39"/>
      <c r="IZ34" s="39"/>
      <c r="JA34" s="39"/>
      <c r="JB34" s="39"/>
      <c r="JC34" s="39"/>
      <c r="JD34" s="39"/>
      <c r="JE34" s="39"/>
      <c r="JF34" s="39"/>
      <c r="JG34" s="39"/>
      <c r="JH34" s="39"/>
      <c r="JI34" s="39"/>
      <c r="JJ34" s="39"/>
      <c r="JK34" s="39"/>
      <c r="JL34" s="39"/>
      <c r="JM34" s="39"/>
      <c r="JN34" s="39"/>
      <c r="JO34" s="39"/>
      <c r="JP34" s="39"/>
      <c r="JQ34" s="39"/>
      <c r="JR34" s="39"/>
      <c r="JS34" s="39"/>
      <c r="JT34" s="39"/>
      <c r="JU34" s="39"/>
      <c r="JV34" s="39"/>
      <c r="JW34" s="39"/>
      <c r="JX34" s="39"/>
      <c r="JY34" s="39"/>
      <c r="JZ34" s="39"/>
      <c r="KA34" s="39"/>
      <c r="KB34" s="39"/>
      <c r="KC34" s="39"/>
      <c r="KD34" s="39"/>
      <c r="KE34" s="39"/>
      <c r="KF34" s="39"/>
      <c r="KG34" s="39"/>
      <c r="KH34" s="39"/>
      <c r="KI34" s="39"/>
      <c r="KJ34" s="39"/>
      <c r="KK34" s="39"/>
      <c r="KL34" s="39"/>
      <c r="KM34" s="39"/>
      <c r="KN34" s="39"/>
      <c r="KO34" s="39"/>
      <c r="KP34" s="39"/>
      <c r="KQ34" s="39"/>
      <c r="KR34" s="39"/>
      <c r="KS34" s="39"/>
      <c r="KT34" s="39"/>
      <c r="KU34" s="39"/>
      <c r="KV34" s="39"/>
      <c r="KW34" s="39"/>
      <c r="KX34" s="39"/>
      <c r="KY34" s="39"/>
      <c r="KZ34" s="39"/>
      <c r="LA34" s="39"/>
      <c r="LB34" s="39"/>
      <c r="LC34" s="39"/>
      <c r="LD34" s="39"/>
      <c r="LE34" s="39"/>
      <c r="LF34" s="39"/>
      <c r="LG34" s="39"/>
      <c r="LH34" s="39"/>
      <c r="LI34" s="39"/>
      <c r="LJ34" s="39"/>
      <c r="LK34" s="39"/>
      <c r="LL34" s="39"/>
      <c r="LM34" s="39"/>
      <c r="LN34" s="39"/>
      <c r="LO34" s="39"/>
      <c r="LP34" s="39"/>
      <c r="LQ34" s="39"/>
      <c r="LR34" s="39"/>
      <c r="LS34" s="39"/>
      <c r="LT34" s="39"/>
      <c r="LU34" s="39"/>
      <c r="LV34" s="39"/>
      <c r="LW34" s="39"/>
      <c r="LX34" s="39"/>
      <c r="LY34" s="39"/>
      <c r="LZ34" s="39"/>
      <c r="MA34" s="39"/>
      <c r="MB34" s="39"/>
      <c r="MC34" s="39"/>
      <c r="MD34" s="39"/>
      <c r="ME34" s="39"/>
      <c r="MF34" s="39"/>
      <c r="MG34" s="39"/>
      <c r="MH34" s="39"/>
      <c r="MI34" s="39"/>
      <c r="MJ34" s="39"/>
      <c r="MK34" s="39"/>
      <c r="ML34" s="39"/>
      <c r="MM34" s="39"/>
      <c r="MN34" s="39"/>
      <c r="MO34" s="39"/>
      <c r="MP34" s="39"/>
      <c r="MQ34" s="39"/>
      <c r="MR34" s="39"/>
      <c r="MS34" s="39"/>
      <c r="MT34" s="39"/>
      <c r="MU34" s="39"/>
      <c r="MV34" s="39"/>
      <c r="MW34" s="39"/>
      <c r="MX34" s="39"/>
      <c r="MY34" s="39"/>
      <c r="MZ34" s="39"/>
      <c r="NA34" s="39"/>
      <c r="NB34" s="39"/>
      <c r="NC34" s="39"/>
      <c r="ND34" s="39"/>
      <c r="NE34" s="39"/>
      <c r="NF34" s="39"/>
      <c r="NG34" s="39"/>
      <c r="NH34" s="39"/>
      <c r="NI34" s="39"/>
      <c r="NJ34" s="39"/>
      <c r="NK34" s="39"/>
      <c r="NL34" s="39"/>
      <c r="NM34" s="39"/>
      <c r="NN34" s="39"/>
      <c r="NO34" s="39"/>
      <c r="NP34" s="39"/>
      <c r="NQ34" s="39"/>
      <c r="NR34" s="39"/>
      <c r="NS34" s="39"/>
      <c r="NT34" s="39"/>
      <c r="NU34" s="39"/>
      <c r="NV34" s="39"/>
      <c r="NW34" s="39"/>
      <c r="NX34" s="39"/>
      <c r="NY34" s="39"/>
      <c r="NZ34" s="39"/>
      <c r="OA34" s="39"/>
      <c r="OB34" s="39"/>
      <c r="OC34" s="39"/>
      <c r="OD34" s="39"/>
      <c r="OE34" s="39"/>
      <c r="OF34" s="39"/>
      <c r="OG34" s="39"/>
      <c r="OH34" s="39"/>
      <c r="OI34" s="39"/>
      <c r="OJ34" s="39"/>
      <c r="OK34" s="39"/>
      <c r="OL34" s="39"/>
      <c r="OM34" s="39"/>
      <c r="ON34" s="39"/>
      <c r="OO34" s="39"/>
      <c r="OP34" s="39"/>
      <c r="OQ34" s="39"/>
      <c r="OR34" s="39"/>
      <c r="OS34" s="39"/>
      <c r="OT34" s="39"/>
      <c r="OU34" s="39"/>
      <c r="OV34" s="39"/>
      <c r="OW34" s="39"/>
      <c r="OX34" s="39"/>
      <c r="OY34" s="39"/>
      <c r="OZ34" s="39"/>
      <c r="PA34" s="39"/>
      <c r="PB34" s="39"/>
      <c r="PC34" s="39"/>
      <c r="PD34" s="39"/>
      <c r="PE34" s="39"/>
      <c r="PF34" s="39"/>
      <c r="PG34" s="39"/>
      <c r="PH34" s="39"/>
      <c r="PI34" s="39"/>
      <c r="PJ34" s="39"/>
      <c r="PK34" s="39"/>
      <c r="PL34" s="39"/>
      <c r="PM34" s="39"/>
      <c r="PN34" s="39"/>
      <c r="PO34" s="39"/>
      <c r="PP34" s="39"/>
      <c r="PQ34" s="39"/>
      <c r="PR34" s="39"/>
      <c r="PS34" s="39"/>
      <c r="PT34" s="39"/>
      <c r="PU34" s="39"/>
      <c r="PV34" s="39"/>
      <c r="PW34" s="39"/>
      <c r="PX34" s="39"/>
      <c r="PY34" s="39"/>
      <c r="PZ34" s="39"/>
      <c r="QA34" s="39"/>
      <c r="QB34" s="39"/>
      <c r="QC34" s="39"/>
      <c r="QD34" s="39"/>
      <c r="QE34" s="39"/>
      <c r="QF34" s="39"/>
      <c r="QG34" s="39"/>
      <c r="QH34" s="39"/>
      <c r="QI34" s="39"/>
      <c r="QJ34" s="39"/>
      <c r="QK34" s="39"/>
      <c r="QL34" s="39"/>
      <c r="QM34" s="39"/>
      <c r="QN34" s="39"/>
      <c r="QO34" s="39"/>
      <c r="QP34" s="39"/>
      <c r="QQ34" s="39"/>
      <c r="QR34" s="39"/>
      <c r="QS34" s="39"/>
      <c r="QT34" s="39"/>
      <c r="QU34" s="39"/>
      <c r="QV34" s="39"/>
      <c r="QW34" s="39"/>
      <c r="QX34" s="39"/>
      <c r="QY34" s="39"/>
      <c r="QZ34" s="39"/>
      <c r="RA34" s="39"/>
      <c r="RB34" s="39"/>
      <c r="RC34" s="39"/>
      <c r="RD34" s="39"/>
      <c r="RE34" s="39"/>
      <c r="RF34" s="39"/>
      <c r="RG34" s="39"/>
      <c r="RH34" s="39"/>
      <c r="RI34" s="39"/>
      <c r="RJ34" s="39"/>
      <c r="RK34" s="39"/>
      <c r="RL34" s="39"/>
      <c r="RM34" s="39"/>
      <c r="RN34" s="39"/>
      <c r="RO34" s="39"/>
      <c r="RP34" s="39"/>
      <c r="RQ34" s="39"/>
      <c r="RR34" s="39"/>
      <c r="RS34" s="39"/>
      <c r="RT34" s="39"/>
      <c r="RU34" s="39"/>
      <c r="RV34" s="39"/>
      <c r="RW34" s="39"/>
      <c r="RX34" s="39"/>
      <c r="RY34" s="39"/>
      <c r="RZ34" s="39"/>
      <c r="SA34" s="39"/>
      <c r="SB34" s="39"/>
      <c r="SC34" s="39"/>
      <c r="SD34" s="39"/>
      <c r="SE34" s="39"/>
      <c r="SF34" s="39"/>
      <c r="SG34" s="39"/>
      <c r="SH34" s="39"/>
      <c r="SI34" s="39"/>
      <c r="SJ34" s="39"/>
      <c r="SK34" s="39"/>
      <c r="SL34" s="39"/>
      <c r="SM34" s="39"/>
      <c r="SN34" s="39"/>
      <c r="SO34" s="39"/>
      <c r="SP34" s="39"/>
      <c r="SQ34" s="39"/>
      <c r="SR34" s="39"/>
      <c r="SS34" s="39"/>
      <c r="ST34" s="39"/>
      <c r="SU34" s="39"/>
      <c r="SV34" s="39"/>
      <c r="SW34" s="39"/>
      <c r="SX34" s="39"/>
      <c r="SY34" s="39"/>
      <c r="SZ34" s="39"/>
      <c r="TA34" s="39"/>
      <c r="TB34" s="39"/>
      <c r="TC34" s="39"/>
      <c r="TD34" s="39"/>
      <c r="TE34" s="39"/>
      <c r="TF34" s="39"/>
      <c r="TG34" s="39"/>
      <c r="TH34" s="39"/>
      <c r="TI34" s="39"/>
      <c r="TJ34" s="39"/>
      <c r="TK34" s="39"/>
      <c r="TL34" s="39"/>
      <c r="TM34" s="39"/>
      <c r="TN34" s="39"/>
      <c r="TO34" s="39"/>
      <c r="TP34" s="39"/>
      <c r="TQ34" s="39"/>
      <c r="TR34" s="39"/>
      <c r="TS34" s="39"/>
      <c r="TT34" s="39"/>
      <c r="TU34" s="39"/>
      <c r="TV34" s="39"/>
      <c r="TW34" s="39"/>
      <c r="TX34" s="39"/>
      <c r="TY34" s="39"/>
      <c r="TZ34" s="39"/>
      <c r="UA34" s="39"/>
      <c r="UB34" s="39"/>
      <c r="UC34" s="39"/>
      <c r="UD34" s="39"/>
      <c r="UE34" s="39"/>
      <c r="UF34" s="39"/>
      <c r="UG34" s="39"/>
      <c r="UH34" s="39"/>
      <c r="UI34" s="39"/>
      <c r="UJ34" s="39"/>
      <c r="UK34" s="39"/>
      <c r="UL34" s="39"/>
      <c r="UM34" s="39"/>
      <c r="UN34" s="39"/>
      <c r="UO34" s="39"/>
      <c r="UP34" s="39"/>
      <c r="UQ34" s="39"/>
      <c r="UR34" s="39"/>
      <c r="US34" s="39"/>
      <c r="UT34" s="39"/>
      <c r="UU34" s="39"/>
      <c r="UV34" s="39"/>
      <c r="UW34" s="39"/>
      <c r="UX34" s="39"/>
      <c r="UY34" s="39"/>
      <c r="UZ34" s="39"/>
      <c r="VA34" s="39"/>
      <c r="VB34" s="39"/>
      <c r="VC34" s="39"/>
      <c r="VD34" s="39"/>
      <c r="VE34" s="39"/>
      <c r="VF34" s="39"/>
      <c r="VG34" s="39"/>
      <c r="VH34" s="39"/>
      <c r="VI34" s="39"/>
      <c r="VJ34" s="39"/>
      <c r="VK34" s="39"/>
      <c r="VL34" s="39"/>
      <c r="VM34" s="39"/>
      <c r="VN34" s="39"/>
      <c r="VO34" s="39"/>
      <c r="VP34" s="39"/>
      <c r="VQ34" s="39"/>
      <c r="VR34" s="39"/>
      <c r="VS34" s="39"/>
      <c r="VT34" s="39"/>
      <c r="VU34" s="39"/>
      <c r="VV34" s="39"/>
      <c r="VW34" s="39"/>
      <c r="VX34" s="39"/>
      <c r="VY34" s="39"/>
      <c r="VZ34" s="39"/>
      <c r="WA34" s="39"/>
      <c r="WB34" s="39"/>
      <c r="WC34" s="39"/>
      <c r="WD34" s="39"/>
      <c r="WE34" s="39"/>
      <c r="WF34" s="39"/>
      <c r="WG34" s="39"/>
      <c r="WH34" s="39"/>
      <c r="WI34" s="39"/>
      <c r="WJ34" s="39"/>
      <c r="WK34" s="39"/>
      <c r="WL34" s="39"/>
      <c r="WM34" s="39"/>
      <c r="WN34" s="39"/>
      <c r="WO34" s="39"/>
      <c r="WP34" s="39"/>
      <c r="WQ34" s="39"/>
      <c r="WR34" s="39"/>
      <c r="WS34" s="39"/>
      <c r="WT34" s="39"/>
      <c r="WU34" s="39"/>
      <c r="WV34" s="39"/>
      <c r="WW34" s="39"/>
      <c r="WX34" s="39"/>
      <c r="WY34" s="39"/>
      <c r="WZ34" s="39"/>
      <c r="XA34" s="39"/>
      <c r="XB34" s="39"/>
      <c r="XC34" s="39"/>
      <c r="XD34" s="39"/>
      <c r="XE34" s="39"/>
      <c r="XF34" s="39"/>
      <c r="XG34" s="39"/>
      <c r="XH34" s="39"/>
      <c r="XI34" s="39"/>
      <c r="XJ34" s="39"/>
      <c r="XK34" s="39"/>
      <c r="XL34" s="39"/>
      <c r="XM34" s="39"/>
      <c r="XN34" s="39"/>
      <c r="XO34" s="39"/>
      <c r="XP34" s="39"/>
      <c r="XQ34" s="39"/>
      <c r="XR34" s="39"/>
      <c r="XS34" s="39"/>
      <c r="XT34" s="39"/>
      <c r="XU34" s="39"/>
      <c r="XV34" s="39"/>
      <c r="XW34" s="39"/>
      <c r="XX34" s="39"/>
      <c r="XY34" s="39"/>
      <c r="XZ34" s="39"/>
      <c r="YA34" s="39"/>
      <c r="YB34" s="39"/>
      <c r="YC34" s="39"/>
      <c r="YD34" s="39"/>
      <c r="YE34" s="39"/>
      <c r="YF34" s="39"/>
      <c r="YG34" s="39"/>
      <c r="YH34" s="39"/>
      <c r="YI34" s="39"/>
      <c r="YJ34" s="39"/>
      <c r="YK34" s="39"/>
      <c r="YL34" s="39"/>
      <c r="YM34" s="39"/>
      <c r="YN34" s="39"/>
      <c r="YO34" s="39"/>
      <c r="YP34" s="39"/>
      <c r="YQ34" s="39"/>
      <c r="YR34" s="39"/>
      <c r="YS34" s="39"/>
      <c r="YT34" s="39"/>
      <c r="YU34" s="39"/>
      <c r="YV34" s="39"/>
      <c r="YW34" s="39"/>
      <c r="YX34" s="39"/>
      <c r="YY34" s="39"/>
      <c r="YZ34" s="39"/>
      <c r="ZA34" s="39"/>
      <c r="ZB34" s="39"/>
      <c r="ZC34" s="39"/>
      <c r="ZD34" s="39"/>
      <c r="ZE34" s="39"/>
      <c r="ZF34" s="39"/>
      <c r="ZG34" s="39"/>
      <c r="ZH34" s="39"/>
      <c r="ZI34" s="39"/>
      <c r="ZJ34" s="39"/>
      <c r="ZK34" s="39"/>
      <c r="ZL34" s="39"/>
      <c r="ZM34" s="39"/>
      <c r="ZN34" s="39"/>
      <c r="ZO34" s="39"/>
      <c r="ZP34" s="39"/>
      <c r="ZQ34" s="39"/>
      <c r="ZR34" s="39"/>
      <c r="ZS34" s="39"/>
      <c r="ZT34" s="39"/>
      <c r="ZU34" s="39"/>
      <c r="ZV34" s="39"/>
      <c r="ZW34" s="39"/>
      <c r="ZX34" s="39"/>
      <c r="ZY34" s="39"/>
      <c r="ZZ34" s="39"/>
    </row>
    <row r="35" spans="1:702" outlineLevel="1" x14ac:dyDescent="0.2">
      <c r="A35" s="41" t="s">
        <v>95</v>
      </c>
      <c r="B35" s="42">
        <v>1.3320000000000001</v>
      </c>
      <c r="C35" s="29"/>
      <c r="D35" s="29"/>
      <c r="E35" s="29"/>
    </row>
    <row r="36" spans="1:702" x14ac:dyDescent="0.2">
      <c r="A36" s="47"/>
    </row>
    <row r="37" spans="1:702" hidden="1" x14ac:dyDescent="0.2">
      <c r="A37" s="25" t="s">
        <v>96</v>
      </c>
    </row>
    <row r="38" spans="1:702" ht="12" outlineLevel="1" thickBot="1" x14ac:dyDescent="0.25">
      <c r="A38" s="44" t="s">
        <v>64</v>
      </c>
      <c r="B38" s="26" t="s">
        <v>97</v>
      </c>
    </row>
    <row r="39" spans="1:702" ht="12" outlineLevel="1" thickBot="1" x14ac:dyDescent="0.25">
      <c r="A39" s="43" t="s">
        <v>72</v>
      </c>
      <c r="B39" s="45">
        <v>1</v>
      </c>
      <c r="C39" s="46" t="s">
        <v>27</v>
      </c>
    </row>
    <row r="40" spans="1:702" ht="12" outlineLevel="1" thickBot="1" x14ac:dyDescent="0.25">
      <c r="A40" s="43" t="s">
        <v>1</v>
      </c>
      <c r="B40" s="45">
        <v>5.2454390147889468E-2</v>
      </c>
      <c r="C40" s="45">
        <v>1</v>
      </c>
      <c r="D40" s="46" t="s">
        <v>28</v>
      </c>
    </row>
    <row r="41" spans="1:702" ht="12" outlineLevel="1" thickBot="1" x14ac:dyDescent="0.25">
      <c r="A41" s="43" t="s">
        <v>2</v>
      </c>
      <c r="B41" s="45">
        <v>-2.9163032486358058E-3</v>
      </c>
      <c r="C41" s="71">
        <v>-0.1123267507756798</v>
      </c>
      <c r="D41" s="45">
        <v>1</v>
      </c>
      <c r="E41" s="46" t="s">
        <v>29</v>
      </c>
    </row>
    <row r="42" spans="1:702" ht="12" outlineLevel="1" thickBot="1" x14ac:dyDescent="0.25">
      <c r="A42" s="43" t="s">
        <v>3</v>
      </c>
      <c r="B42" s="45">
        <v>-0.80968284289158388</v>
      </c>
      <c r="C42" s="72">
        <v>-6.699844188549238E-2</v>
      </c>
      <c r="D42" s="72">
        <v>-9.42891307740127E-3</v>
      </c>
      <c r="E42" s="45">
        <v>1</v>
      </c>
      <c r="F42" s="46" t="s">
        <v>30</v>
      </c>
    </row>
    <row r="43" spans="1:702" outlineLevel="1" x14ac:dyDescent="0.2">
      <c r="A43" s="43" t="s">
        <v>4</v>
      </c>
      <c r="B43" s="45">
        <v>-0.25643914242932631</v>
      </c>
      <c r="C43" s="73">
        <v>-0.94502061619398747</v>
      </c>
      <c r="D43" s="71">
        <v>0.10133598665500136</v>
      </c>
      <c r="E43" s="72">
        <v>9.0712246364638954E-2</v>
      </c>
      <c r="F43" s="45">
        <v>1</v>
      </c>
    </row>
    <row r="44" spans="1:702" x14ac:dyDescent="0.2">
      <c r="A44" s="47"/>
    </row>
    <row r="48" spans="1:702" hidden="1" x14ac:dyDescent="0.2">
      <c r="A48" s="25" t="s">
        <v>98</v>
      </c>
    </row>
    <row r="49" spans="1:8" ht="12" outlineLevel="1" thickBot="1" x14ac:dyDescent="0.25">
      <c r="A49" s="35" t="s">
        <v>35</v>
      </c>
      <c r="B49" s="35" t="s">
        <v>99</v>
      </c>
      <c r="C49" s="35" t="s">
        <v>100</v>
      </c>
      <c r="D49" s="35" t="s">
        <v>76</v>
      </c>
      <c r="E49" s="35" t="s">
        <v>101</v>
      </c>
      <c r="F49" s="35" t="s">
        <v>102</v>
      </c>
      <c r="G49" s="35" t="s">
        <v>103</v>
      </c>
      <c r="H49" s="35" t="s">
        <v>104</v>
      </c>
    </row>
    <row r="50" spans="1:8" outlineLevel="1" x14ac:dyDescent="0.2">
      <c r="A50" s="30">
        <v>1</v>
      </c>
      <c r="B50" s="29">
        <v>158</v>
      </c>
      <c r="C50" s="29">
        <v>153.10919155588601</v>
      </c>
      <c r="D50" s="29">
        <f t="shared" ref="D50:D113" si="4">B50 - C50</f>
        <v>4.8908084441139863</v>
      </c>
      <c r="E50" s="21">
        <f t="shared" ref="E50:E113" si="5">D50 /7.48113976544041</f>
        <v>0.65375178080583118</v>
      </c>
      <c r="F50" s="21">
        <f t="shared" ref="F50:F113" si="6">ABS(E50)</f>
        <v>0.65375178080583118</v>
      </c>
      <c r="G50" s="21">
        <v>1.5273485320619673E-2</v>
      </c>
      <c r="H50" s="21">
        <f>(F50^2/3)*(G50/(1-G50)^2)</f>
        <v>2.2439408416661797E-3</v>
      </c>
    </row>
    <row r="51" spans="1:8" outlineLevel="1" x14ac:dyDescent="0.2">
      <c r="A51" s="30">
        <v>2</v>
      </c>
      <c r="B51" s="29">
        <v>165</v>
      </c>
      <c r="C51" s="29">
        <v>165.54653427526671</v>
      </c>
      <c r="D51" s="29">
        <f t="shared" si="4"/>
        <v>-0.54653427526670839</v>
      </c>
      <c r="E51" s="21">
        <f t="shared" si="5"/>
        <v>-7.3054947829133923E-2</v>
      </c>
      <c r="F51" s="21">
        <f t="shared" si="6"/>
        <v>7.3054947829133923E-2</v>
      </c>
      <c r="G51" s="21">
        <v>1.1998319580253785E-2</v>
      </c>
      <c r="H51" s="21">
        <f t="shared" ref="H51:H114" si="7">(F51^2/3)*(G51/(1-G51)^2)</f>
        <v>2.1866691307528766E-5</v>
      </c>
    </row>
    <row r="52" spans="1:8" outlineLevel="1" x14ac:dyDescent="0.2">
      <c r="A52" s="30">
        <v>3</v>
      </c>
      <c r="B52" s="29">
        <v>152</v>
      </c>
      <c r="C52" s="29">
        <v>149.71022106844163</v>
      </c>
      <c r="D52" s="29">
        <f t="shared" si="4"/>
        <v>2.2897789315583736</v>
      </c>
      <c r="E52" s="21">
        <f t="shared" si="5"/>
        <v>0.30607354004214032</v>
      </c>
      <c r="F52" s="21">
        <f t="shared" si="6"/>
        <v>0.30607354004214032</v>
      </c>
      <c r="G52" s="21">
        <v>1.7508069306119353E-2</v>
      </c>
      <c r="H52" s="21">
        <f t="shared" si="7"/>
        <v>5.6638349787712825E-4</v>
      </c>
    </row>
    <row r="53" spans="1:8" outlineLevel="1" x14ac:dyDescent="0.2">
      <c r="A53" s="30">
        <v>4</v>
      </c>
      <c r="B53" s="29">
        <v>154</v>
      </c>
      <c r="C53" s="29">
        <v>159.99226633727733</v>
      </c>
      <c r="D53" s="29">
        <f t="shared" si="4"/>
        <v>-5.9922663372773286</v>
      </c>
      <c r="E53" s="21">
        <f t="shared" si="5"/>
        <v>-0.80098307546117176</v>
      </c>
      <c r="F53" s="21">
        <f t="shared" si="6"/>
        <v>0.80098307546117176</v>
      </c>
      <c r="G53" s="21">
        <v>1.5026986108329811E-2</v>
      </c>
      <c r="H53" s="21">
        <f t="shared" si="7"/>
        <v>3.3124447688846741E-3</v>
      </c>
    </row>
    <row r="54" spans="1:8" outlineLevel="1" x14ac:dyDescent="0.2">
      <c r="A54" s="30">
        <v>5</v>
      </c>
      <c r="B54" s="29">
        <v>153</v>
      </c>
      <c r="C54" s="29">
        <v>156.22348776530288</v>
      </c>
      <c r="D54" s="29">
        <f t="shared" si="4"/>
        <v>-3.2234877653028775</v>
      </c>
      <c r="E54" s="21">
        <f t="shared" si="5"/>
        <v>-0.43088190655038677</v>
      </c>
      <c r="F54" s="21">
        <f t="shared" si="6"/>
        <v>0.43088190655038677</v>
      </c>
      <c r="G54" s="21">
        <v>1.7302154252772262E-2</v>
      </c>
      <c r="H54" s="21">
        <f t="shared" si="7"/>
        <v>1.1088056551236992E-3</v>
      </c>
    </row>
    <row r="55" spans="1:8" outlineLevel="1" x14ac:dyDescent="0.2">
      <c r="A55" s="30">
        <v>6</v>
      </c>
      <c r="B55" s="29">
        <v>146</v>
      </c>
      <c r="C55" s="29">
        <v>148.77521291544409</v>
      </c>
      <c r="D55" s="29">
        <f t="shared" si="4"/>
        <v>-2.7752129154440865</v>
      </c>
      <c r="E55" s="21">
        <f t="shared" si="5"/>
        <v>-0.37096124420296955</v>
      </c>
      <c r="F55" s="21">
        <f t="shared" si="6"/>
        <v>0.37096124420296955</v>
      </c>
      <c r="G55" s="21">
        <v>1.1892742040025637E-2</v>
      </c>
      <c r="H55" s="21">
        <f t="shared" si="7"/>
        <v>5.5873984699732486E-4</v>
      </c>
    </row>
    <row r="56" spans="1:8" outlineLevel="1" x14ac:dyDescent="0.2">
      <c r="A56" s="30">
        <v>7</v>
      </c>
      <c r="B56" s="29">
        <v>164</v>
      </c>
      <c r="C56" s="29">
        <v>165.99374349209282</v>
      </c>
      <c r="D56" s="29">
        <f t="shared" si="4"/>
        <v>-1.9937434920928183</v>
      </c>
      <c r="E56" s="21">
        <f t="shared" si="5"/>
        <v>-0.26650263925064471</v>
      </c>
      <c r="F56" s="21">
        <f t="shared" si="6"/>
        <v>0.26650263925064471</v>
      </c>
      <c r="G56" s="21">
        <v>6.5578293278316449E-3</v>
      </c>
      <c r="H56" s="21">
        <f t="shared" si="7"/>
        <v>1.5731013389649206E-4</v>
      </c>
    </row>
    <row r="57" spans="1:8" outlineLevel="1" x14ac:dyDescent="0.2">
      <c r="A57" s="30">
        <v>8</v>
      </c>
      <c r="B57" s="29">
        <v>170</v>
      </c>
      <c r="C57" s="29">
        <v>163.44034098671835</v>
      </c>
      <c r="D57" s="29">
        <f t="shared" si="4"/>
        <v>6.5596590132816459</v>
      </c>
      <c r="E57" s="21">
        <f t="shared" si="5"/>
        <v>0.87682615469696179</v>
      </c>
      <c r="F57" s="21">
        <f t="shared" si="6"/>
        <v>0.87682615469696179</v>
      </c>
      <c r="G57" s="21">
        <v>2.4285855047258244E-2</v>
      </c>
      <c r="H57" s="21">
        <f t="shared" si="7"/>
        <v>6.5375335925594242E-3</v>
      </c>
    </row>
    <row r="58" spans="1:8" outlineLevel="1" x14ac:dyDescent="0.2">
      <c r="A58" s="30">
        <v>9</v>
      </c>
      <c r="B58" s="29">
        <v>186</v>
      </c>
      <c r="C58" s="29">
        <v>178.35596287507573</v>
      </c>
      <c r="D58" s="29">
        <f t="shared" si="4"/>
        <v>7.6440371249242673</v>
      </c>
      <c r="E58" s="21">
        <f t="shared" si="5"/>
        <v>1.021774403980042</v>
      </c>
      <c r="F58" s="21">
        <f t="shared" si="6"/>
        <v>1.021774403980042</v>
      </c>
      <c r="G58" s="21">
        <v>6.0915622492065474E-2</v>
      </c>
      <c r="H58" s="21">
        <f t="shared" si="7"/>
        <v>2.4038548402982217E-2</v>
      </c>
    </row>
    <row r="59" spans="1:8" outlineLevel="1" x14ac:dyDescent="0.2">
      <c r="A59" s="30">
        <v>10</v>
      </c>
      <c r="B59" s="29">
        <v>167</v>
      </c>
      <c r="C59" s="29">
        <v>167.11857422728494</v>
      </c>
      <c r="D59" s="29">
        <f t="shared" si="4"/>
        <v>-0.11857422728493816</v>
      </c>
      <c r="E59" s="21">
        <f t="shared" si="5"/>
        <v>-1.5849754315872985E-2</v>
      </c>
      <c r="F59" s="21">
        <f t="shared" si="6"/>
        <v>1.5849754315872985E-2</v>
      </c>
      <c r="G59" s="21">
        <v>2.6517280200113152E-2</v>
      </c>
      <c r="H59" s="21">
        <f t="shared" si="7"/>
        <v>2.3431295373120067E-6</v>
      </c>
    </row>
    <row r="60" spans="1:8" outlineLevel="1" x14ac:dyDescent="0.2">
      <c r="A60" s="30">
        <v>11</v>
      </c>
      <c r="B60" s="29">
        <v>174</v>
      </c>
      <c r="C60" s="29">
        <v>174.86798428037241</v>
      </c>
      <c r="D60" s="29">
        <f t="shared" si="4"/>
        <v>-0.86798428037241138</v>
      </c>
      <c r="E60" s="21">
        <f t="shared" si="5"/>
        <v>-0.11602300018268856</v>
      </c>
      <c r="F60" s="21">
        <f t="shared" si="6"/>
        <v>0.11602300018268856</v>
      </c>
      <c r="G60" s="21">
        <v>2.5484202260821938E-2</v>
      </c>
      <c r="H60" s="21">
        <f t="shared" si="7"/>
        <v>1.2040934777805054E-4</v>
      </c>
    </row>
    <row r="61" spans="1:8" outlineLevel="1" x14ac:dyDescent="0.2">
      <c r="A61" s="30">
        <v>12</v>
      </c>
      <c r="B61" s="29">
        <v>163</v>
      </c>
      <c r="C61" s="29">
        <v>155.09945253754461</v>
      </c>
      <c r="D61" s="29">
        <f t="shared" si="4"/>
        <v>7.9005474624553926</v>
      </c>
      <c r="E61" s="21">
        <f t="shared" si="5"/>
        <v>1.0560620052779206</v>
      </c>
      <c r="F61" s="21">
        <f t="shared" si="6"/>
        <v>1.0560620052779206</v>
      </c>
      <c r="G61" s="21">
        <v>2.7022452287240262E-2</v>
      </c>
      <c r="H61" s="21">
        <f t="shared" si="7"/>
        <v>1.0611498147261403E-2</v>
      </c>
    </row>
    <row r="62" spans="1:8" outlineLevel="1" x14ac:dyDescent="0.2">
      <c r="A62" s="30">
        <v>13</v>
      </c>
      <c r="B62" s="29">
        <v>174</v>
      </c>
      <c r="C62" s="29">
        <v>169.39375553354131</v>
      </c>
      <c r="D62" s="29">
        <f t="shared" si="4"/>
        <v>4.6062444664586906</v>
      </c>
      <c r="E62" s="21">
        <f t="shared" si="5"/>
        <v>0.61571426425389386</v>
      </c>
      <c r="F62" s="21">
        <f t="shared" si="6"/>
        <v>0.61571426425389386</v>
      </c>
      <c r="G62" s="21">
        <v>1.3140865135525762E-2</v>
      </c>
      <c r="H62" s="21">
        <f t="shared" si="7"/>
        <v>1.7051037220761167E-3</v>
      </c>
    </row>
    <row r="63" spans="1:8" outlineLevel="1" x14ac:dyDescent="0.2">
      <c r="A63" s="30">
        <v>14</v>
      </c>
      <c r="B63" s="29">
        <v>183</v>
      </c>
      <c r="C63" s="29">
        <v>167.64422308963998</v>
      </c>
      <c r="D63" s="29">
        <f t="shared" si="4"/>
        <v>15.355776910360021</v>
      </c>
      <c r="E63" s="21">
        <f t="shared" si="5"/>
        <v>2.0525985868218886</v>
      </c>
      <c r="F63" s="21">
        <f t="shared" si="6"/>
        <v>2.0525985868218886</v>
      </c>
      <c r="G63" s="21">
        <v>9.6898465457824264E-3</v>
      </c>
      <c r="H63" s="21">
        <f t="shared" si="7"/>
        <v>1.3875902262624426E-2</v>
      </c>
    </row>
    <row r="64" spans="1:8" outlineLevel="1" x14ac:dyDescent="0.2">
      <c r="A64" s="30">
        <v>15</v>
      </c>
      <c r="B64" s="29">
        <v>175</v>
      </c>
      <c r="C64" s="29">
        <v>175.3770865268479</v>
      </c>
      <c r="D64" s="29">
        <f t="shared" si="4"/>
        <v>-0.37708652684790422</v>
      </c>
      <c r="E64" s="21">
        <f t="shared" si="5"/>
        <v>-5.0404956820868235E-2</v>
      </c>
      <c r="F64" s="21">
        <f t="shared" si="6"/>
        <v>5.0404956820868235E-2</v>
      </c>
      <c r="G64" s="21">
        <v>1.7225088803706962E-2</v>
      </c>
      <c r="H64" s="21">
        <f t="shared" si="7"/>
        <v>1.5103534323033179E-5</v>
      </c>
    </row>
    <row r="65" spans="1:8" outlineLevel="1" x14ac:dyDescent="0.2">
      <c r="A65" s="30">
        <v>16</v>
      </c>
      <c r="B65" s="29">
        <v>161</v>
      </c>
      <c r="C65" s="29">
        <v>148.23678478264412</v>
      </c>
      <c r="D65" s="29">
        <f t="shared" si="4"/>
        <v>12.763215217355878</v>
      </c>
      <c r="E65" s="21">
        <f t="shared" si="5"/>
        <v>1.7060522350239122</v>
      </c>
      <c r="F65" s="21">
        <f t="shared" si="6"/>
        <v>1.7060522350239122</v>
      </c>
      <c r="G65" s="21">
        <v>1.8109715382519789E-2</v>
      </c>
      <c r="H65" s="21">
        <f t="shared" si="7"/>
        <v>1.8224225998255732E-2</v>
      </c>
    </row>
    <row r="66" spans="1:8" outlineLevel="1" x14ac:dyDescent="0.2">
      <c r="A66" s="30">
        <v>17</v>
      </c>
      <c r="B66" s="29">
        <v>156</v>
      </c>
      <c r="C66" s="29">
        <v>165.06695809132748</v>
      </c>
      <c r="D66" s="29">
        <f t="shared" si="4"/>
        <v>-9.0669580913274785</v>
      </c>
      <c r="E66" s="21">
        <f t="shared" si="5"/>
        <v>-1.2119754977995272</v>
      </c>
      <c r="F66" s="21">
        <f t="shared" si="6"/>
        <v>1.2119754977995272</v>
      </c>
      <c r="G66" s="21">
        <v>2.9666131772842393E-2</v>
      </c>
      <c r="H66" s="21">
        <f t="shared" si="7"/>
        <v>1.5427123857720323E-2</v>
      </c>
    </row>
    <row r="67" spans="1:8" outlineLevel="1" x14ac:dyDescent="0.2">
      <c r="A67" s="30">
        <v>18</v>
      </c>
      <c r="B67" s="29">
        <v>161</v>
      </c>
      <c r="C67" s="29">
        <v>153.84959261118442</v>
      </c>
      <c r="D67" s="29">
        <f t="shared" si="4"/>
        <v>7.1504073888155801</v>
      </c>
      <c r="E67" s="21">
        <f t="shared" si="5"/>
        <v>0.95579117794955937</v>
      </c>
      <c r="F67" s="21">
        <f t="shared" si="6"/>
        <v>0.95579117794955937</v>
      </c>
      <c r="G67" s="21">
        <v>1.6756112534791829E-2</v>
      </c>
      <c r="H67" s="21">
        <f t="shared" si="7"/>
        <v>5.2778317153070915E-3</v>
      </c>
    </row>
    <row r="68" spans="1:8" outlineLevel="1" x14ac:dyDescent="0.2">
      <c r="A68" s="30">
        <v>19</v>
      </c>
      <c r="B68" s="29">
        <v>166</v>
      </c>
      <c r="C68" s="29">
        <v>165.37995520699303</v>
      </c>
      <c r="D68" s="29">
        <f t="shared" si="4"/>
        <v>0.62004479300696858</v>
      </c>
      <c r="E68" s="21">
        <f t="shared" si="5"/>
        <v>8.2881059898293044E-2</v>
      </c>
      <c r="F68" s="21">
        <f t="shared" si="6"/>
        <v>8.2881059898293044E-2</v>
      </c>
      <c r="G68" s="21">
        <v>1.5017212853704762E-2</v>
      </c>
      <c r="H68" s="21">
        <f t="shared" si="7"/>
        <v>3.5442258763500628E-5</v>
      </c>
    </row>
    <row r="69" spans="1:8" outlineLevel="1" x14ac:dyDescent="0.2">
      <c r="A69" s="30">
        <v>20</v>
      </c>
      <c r="B69" s="29">
        <v>141</v>
      </c>
      <c r="C69" s="29">
        <v>142.08684897170878</v>
      </c>
      <c r="D69" s="29">
        <f t="shared" si="4"/>
        <v>-1.0868489717087755</v>
      </c>
      <c r="E69" s="21">
        <f t="shared" si="5"/>
        <v>-0.14527852784271481</v>
      </c>
      <c r="F69" s="21">
        <f t="shared" si="6"/>
        <v>0.14527852784271481</v>
      </c>
      <c r="G69" s="21">
        <v>3.1828646964153252E-2</v>
      </c>
      <c r="H69" s="21">
        <f t="shared" si="7"/>
        <v>2.3888854570738359E-4</v>
      </c>
    </row>
    <row r="70" spans="1:8" outlineLevel="1" x14ac:dyDescent="0.2">
      <c r="A70" s="30">
        <v>21</v>
      </c>
      <c r="B70" s="29">
        <v>160</v>
      </c>
      <c r="C70" s="29">
        <v>169.43625656424859</v>
      </c>
      <c r="D70" s="29">
        <f t="shared" si="4"/>
        <v>-9.4362565642485947</v>
      </c>
      <c r="E70" s="21">
        <f t="shared" si="5"/>
        <v>-1.2613394295665974</v>
      </c>
      <c r="F70" s="21">
        <f t="shared" si="6"/>
        <v>1.2613394295665974</v>
      </c>
      <c r="G70" s="21">
        <v>3.008402633826026E-2</v>
      </c>
      <c r="H70" s="21">
        <f t="shared" si="7"/>
        <v>1.6959397751422179E-2</v>
      </c>
    </row>
    <row r="71" spans="1:8" outlineLevel="1" x14ac:dyDescent="0.2">
      <c r="A71" s="30">
        <v>22</v>
      </c>
      <c r="B71" s="29">
        <v>177</v>
      </c>
      <c r="C71" s="29">
        <v>181.07271142351041</v>
      </c>
      <c r="D71" s="29">
        <f t="shared" si="4"/>
        <v>-4.0727114235104125</v>
      </c>
      <c r="E71" s="21">
        <f t="shared" si="5"/>
        <v>-0.544397184279935</v>
      </c>
      <c r="F71" s="21">
        <f t="shared" si="6"/>
        <v>0.544397184279935</v>
      </c>
      <c r="G71" s="21">
        <v>0.11375872244624857</v>
      </c>
      <c r="H71" s="21">
        <f t="shared" si="7"/>
        <v>1.4308405655283976E-2</v>
      </c>
    </row>
    <row r="72" spans="1:8" outlineLevel="1" x14ac:dyDescent="0.2">
      <c r="A72" s="30">
        <v>23</v>
      </c>
      <c r="B72" s="29">
        <v>190</v>
      </c>
      <c r="C72" s="29">
        <v>186.65817988326347</v>
      </c>
      <c r="D72" s="29">
        <f t="shared" si="4"/>
        <v>3.3418201167365282</v>
      </c>
      <c r="E72" s="21">
        <f t="shared" si="5"/>
        <v>0.44669932944900637</v>
      </c>
      <c r="F72" s="21">
        <f t="shared" si="6"/>
        <v>0.44669932944900637</v>
      </c>
      <c r="G72" s="21">
        <v>4.8809488323770911E-2</v>
      </c>
      <c r="H72" s="21">
        <f t="shared" si="7"/>
        <v>3.588216032787056E-3</v>
      </c>
    </row>
    <row r="73" spans="1:8" outlineLevel="1" x14ac:dyDescent="0.2">
      <c r="A73" s="30">
        <v>24</v>
      </c>
      <c r="B73" s="29">
        <v>156</v>
      </c>
      <c r="C73" s="29">
        <v>150.12492690736369</v>
      </c>
      <c r="D73" s="29">
        <f t="shared" si="4"/>
        <v>5.8750730926363133</v>
      </c>
      <c r="E73" s="21">
        <f t="shared" si="5"/>
        <v>0.78531791636570913</v>
      </c>
      <c r="F73" s="21">
        <f t="shared" si="6"/>
        <v>0.78531791636570913</v>
      </c>
      <c r="G73" s="21">
        <v>1.2617501547694945E-2</v>
      </c>
      <c r="H73" s="21">
        <f t="shared" si="7"/>
        <v>2.6605551958224644E-3</v>
      </c>
    </row>
    <row r="74" spans="1:8" outlineLevel="1" x14ac:dyDescent="0.2">
      <c r="A74" s="30">
        <v>25</v>
      </c>
      <c r="B74" s="29">
        <v>134</v>
      </c>
      <c r="C74" s="29">
        <v>132.03358229831917</v>
      </c>
      <c r="D74" s="29">
        <f t="shared" si="4"/>
        <v>1.9664177016808253</v>
      </c>
      <c r="E74" s="21">
        <f t="shared" si="5"/>
        <v>0.26285001528307411</v>
      </c>
      <c r="F74" s="21">
        <f t="shared" si="6"/>
        <v>0.26285001528307411</v>
      </c>
      <c r="G74" s="21">
        <v>6.2316847120269726E-2</v>
      </c>
      <c r="H74" s="21">
        <f t="shared" si="7"/>
        <v>1.632254987996304E-3</v>
      </c>
    </row>
    <row r="75" spans="1:8" outlineLevel="1" x14ac:dyDescent="0.2">
      <c r="A75" s="30">
        <v>26</v>
      </c>
      <c r="B75" s="29">
        <v>146</v>
      </c>
      <c r="C75" s="29">
        <v>153.54755119189886</v>
      </c>
      <c r="D75" s="29">
        <f t="shared" si="4"/>
        <v>-7.5475511918988616</v>
      </c>
      <c r="E75" s="21">
        <f t="shared" si="5"/>
        <v>-1.0088771802881218</v>
      </c>
      <c r="F75" s="21">
        <f t="shared" si="6"/>
        <v>1.0088771802881218</v>
      </c>
      <c r="G75" s="21">
        <v>1.4351392721708919E-2</v>
      </c>
      <c r="H75" s="21">
        <f t="shared" si="7"/>
        <v>5.0119319627992456E-3</v>
      </c>
    </row>
    <row r="76" spans="1:8" outlineLevel="1" x14ac:dyDescent="0.2">
      <c r="A76" s="30">
        <v>27</v>
      </c>
      <c r="B76" s="29">
        <v>163</v>
      </c>
      <c r="C76" s="29">
        <v>164.80637048416091</v>
      </c>
      <c r="D76" s="29">
        <f t="shared" si="4"/>
        <v>-1.8063704841609081</v>
      </c>
      <c r="E76" s="21">
        <f t="shared" si="5"/>
        <v>-0.24145658827356076</v>
      </c>
      <c r="F76" s="21">
        <f t="shared" si="6"/>
        <v>0.24145658827356076</v>
      </c>
      <c r="G76" s="21">
        <v>6.5684257227920928E-3</v>
      </c>
      <c r="H76" s="21">
        <f t="shared" si="7"/>
        <v>1.2934279456199783E-4</v>
      </c>
    </row>
    <row r="77" spans="1:8" outlineLevel="1" x14ac:dyDescent="0.2">
      <c r="A77" s="30">
        <v>28</v>
      </c>
      <c r="B77" s="29">
        <v>159</v>
      </c>
      <c r="C77" s="29">
        <v>159.35567875538129</v>
      </c>
      <c r="D77" s="29">
        <f t="shared" si="4"/>
        <v>-0.35567875538129101</v>
      </c>
      <c r="E77" s="21">
        <f t="shared" si="5"/>
        <v>-4.7543391319110374E-2</v>
      </c>
      <c r="F77" s="21">
        <f t="shared" si="6"/>
        <v>4.7543391319110374E-2</v>
      </c>
      <c r="G77" s="21">
        <v>2.0230120831221332E-2</v>
      </c>
      <c r="H77" s="21">
        <f t="shared" si="7"/>
        <v>1.5878496167115226E-5</v>
      </c>
    </row>
    <row r="78" spans="1:8" outlineLevel="1" x14ac:dyDescent="0.2">
      <c r="A78" s="30">
        <v>29</v>
      </c>
      <c r="B78" s="29">
        <v>162</v>
      </c>
      <c r="C78" s="29">
        <v>160.22739369448166</v>
      </c>
      <c r="D78" s="29">
        <f t="shared" si="4"/>
        <v>1.7726063055183374</v>
      </c>
      <c r="E78" s="21">
        <f t="shared" si="5"/>
        <v>0.2369433483527473</v>
      </c>
      <c r="F78" s="21">
        <f t="shared" si="6"/>
        <v>0.2369433483527473</v>
      </c>
      <c r="G78" s="21">
        <v>9.603086280110024E-3</v>
      </c>
      <c r="H78" s="21">
        <f t="shared" si="7"/>
        <v>1.8321459302608864E-4</v>
      </c>
    </row>
    <row r="79" spans="1:8" outlineLevel="1" x14ac:dyDescent="0.2">
      <c r="A79" s="30">
        <v>30</v>
      </c>
      <c r="B79" s="29">
        <v>166</v>
      </c>
      <c r="C79" s="29">
        <v>173.15693837249475</v>
      </c>
      <c r="D79" s="29">
        <f t="shared" si="4"/>
        <v>-7.15693837249475</v>
      </c>
      <c r="E79" s="21">
        <f t="shared" si="5"/>
        <v>-0.95666417108749535</v>
      </c>
      <c r="F79" s="21">
        <f t="shared" si="6"/>
        <v>0.95666417108749535</v>
      </c>
      <c r="G79" s="21">
        <v>3.1676194769973562E-2</v>
      </c>
      <c r="H79" s="21">
        <f t="shared" si="7"/>
        <v>1.0305986063694431E-2</v>
      </c>
    </row>
    <row r="80" spans="1:8" outlineLevel="1" x14ac:dyDescent="0.2">
      <c r="A80" s="30">
        <v>31</v>
      </c>
      <c r="B80" s="29">
        <v>137</v>
      </c>
      <c r="C80" s="29">
        <v>150.13962297276353</v>
      </c>
      <c r="D80" s="29">
        <f t="shared" si="4"/>
        <v>-13.139622972763533</v>
      </c>
      <c r="E80" s="21">
        <f t="shared" si="5"/>
        <v>-1.7563664608249718</v>
      </c>
      <c r="F80" s="21">
        <f t="shared" si="6"/>
        <v>1.7563664608249718</v>
      </c>
      <c r="G80" s="21">
        <v>5.4632430100857457E-2</v>
      </c>
      <c r="H80" s="21">
        <f t="shared" si="7"/>
        <v>6.2857649144596212E-2</v>
      </c>
    </row>
    <row r="81" spans="1:8" outlineLevel="1" x14ac:dyDescent="0.2">
      <c r="A81" s="30">
        <v>32</v>
      </c>
      <c r="B81" s="29">
        <v>163</v>
      </c>
      <c r="C81" s="29">
        <v>171.40495841250259</v>
      </c>
      <c r="D81" s="29">
        <f t="shared" si="4"/>
        <v>-8.4049584125025945</v>
      </c>
      <c r="E81" s="21">
        <f t="shared" si="5"/>
        <v>-1.1234863504796184</v>
      </c>
      <c r="F81" s="21">
        <f t="shared" si="6"/>
        <v>1.1234863504796184</v>
      </c>
      <c r="G81" s="21">
        <v>8.963972747824886E-3</v>
      </c>
      <c r="H81" s="21">
        <f t="shared" si="7"/>
        <v>3.8400421217862318E-3</v>
      </c>
    </row>
    <row r="82" spans="1:8" outlineLevel="1" x14ac:dyDescent="0.2">
      <c r="A82" s="30">
        <v>33</v>
      </c>
      <c r="B82" s="29">
        <v>161</v>
      </c>
      <c r="C82" s="29">
        <v>166.35654709875737</v>
      </c>
      <c r="D82" s="29">
        <f t="shared" si="4"/>
        <v>-5.3565470987573747</v>
      </c>
      <c r="E82" s="21">
        <f t="shared" si="5"/>
        <v>-0.71600682071230326</v>
      </c>
      <c r="F82" s="21">
        <f t="shared" si="6"/>
        <v>0.71600682071230326</v>
      </c>
      <c r="G82" s="21">
        <v>6.6468522235563522E-3</v>
      </c>
      <c r="H82" s="21">
        <f t="shared" si="7"/>
        <v>1.151123030445883E-3</v>
      </c>
    </row>
    <row r="83" spans="1:8" outlineLevel="1" x14ac:dyDescent="0.2">
      <c r="A83" s="30">
        <v>34</v>
      </c>
      <c r="B83" s="29">
        <v>158</v>
      </c>
      <c r="C83" s="29">
        <v>156.22310590099102</v>
      </c>
      <c r="D83" s="29">
        <f t="shared" si="4"/>
        <v>1.7768940990089845</v>
      </c>
      <c r="E83" s="21">
        <f t="shared" si="5"/>
        <v>0.23751649544330894</v>
      </c>
      <c r="F83" s="21">
        <f t="shared" si="6"/>
        <v>0.23751649544330894</v>
      </c>
      <c r="G83" s="21">
        <v>8.4510405619887437E-3</v>
      </c>
      <c r="H83" s="21">
        <f t="shared" si="7"/>
        <v>1.6163974568239695E-4</v>
      </c>
    </row>
    <row r="84" spans="1:8" outlineLevel="1" x14ac:dyDescent="0.2">
      <c r="A84" s="30">
        <v>35</v>
      </c>
      <c r="B84" s="29">
        <v>168</v>
      </c>
      <c r="C84" s="29">
        <v>175.24212577803593</v>
      </c>
      <c r="D84" s="29">
        <f t="shared" si="4"/>
        <v>-7.2421257780359269</v>
      </c>
      <c r="E84" s="21">
        <f t="shared" si="5"/>
        <v>-0.96805112657985304</v>
      </c>
      <c r="F84" s="21">
        <f t="shared" si="6"/>
        <v>0.96805112657985304</v>
      </c>
      <c r="G84" s="21">
        <v>1.9016547202363003E-2</v>
      </c>
      <c r="H84" s="21">
        <f t="shared" si="7"/>
        <v>6.1728203385595657E-3</v>
      </c>
    </row>
    <row r="85" spans="1:8" outlineLevel="1" x14ac:dyDescent="0.2">
      <c r="A85" s="30">
        <v>36</v>
      </c>
      <c r="B85" s="29">
        <v>152</v>
      </c>
      <c r="C85" s="29">
        <v>150.38621296282489</v>
      </c>
      <c r="D85" s="29">
        <f t="shared" si="4"/>
        <v>1.6137870371751148</v>
      </c>
      <c r="E85" s="21">
        <f t="shared" si="5"/>
        <v>0.21571406066093088</v>
      </c>
      <c r="F85" s="21">
        <f t="shared" si="6"/>
        <v>0.21571406066093088</v>
      </c>
      <c r="G85" s="21">
        <v>1.6593286981086374E-2</v>
      </c>
      <c r="H85" s="21">
        <f t="shared" si="7"/>
        <v>2.661348452847381E-4</v>
      </c>
    </row>
    <row r="86" spans="1:8" outlineLevel="1" x14ac:dyDescent="0.2">
      <c r="A86" s="30">
        <v>37</v>
      </c>
      <c r="B86" s="29">
        <v>143</v>
      </c>
      <c r="C86" s="29">
        <v>151.49006289902204</v>
      </c>
      <c r="D86" s="29">
        <f t="shared" si="4"/>
        <v>-8.4900628990220355</v>
      </c>
      <c r="E86" s="21">
        <f t="shared" si="5"/>
        <v>-1.1348622222301483</v>
      </c>
      <c r="F86" s="21">
        <f t="shared" si="6"/>
        <v>1.1348622222301483</v>
      </c>
      <c r="G86" s="21">
        <v>1.1540665707937227E-2</v>
      </c>
      <c r="H86" s="21">
        <f t="shared" si="7"/>
        <v>5.0708208949053106E-3</v>
      </c>
    </row>
    <row r="87" spans="1:8" outlineLevel="1" x14ac:dyDescent="0.2">
      <c r="A87" s="30">
        <v>38</v>
      </c>
      <c r="B87" s="29">
        <v>154</v>
      </c>
      <c r="C87" s="29">
        <v>162.11006571516208</v>
      </c>
      <c r="D87" s="29">
        <f t="shared" si="4"/>
        <v>-8.1100657151620794</v>
      </c>
      <c r="E87" s="21">
        <f t="shared" si="5"/>
        <v>-1.0840681994242416</v>
      </c>
      <c r="F87" s="21">
        <f t="shared" si="6"/>
        <v>1.0840681994242416</v>
      </c>
      <c r="G87" s="21">
        <v>1.8825015191365497E-2</v>
      </c>
      <c r="H87" s="21">
        <f t="shared" si="7"/>
        <v>7.6600985261363599E-3</v>
      </c>
    </row>
    <row r="88" spans="1:8" outlineLevel="1" x14ac:dyDescent="0.2">
      <c r="A88" s="30">
        <v>39</v>
      </c>
      <c r="B88" s="29">
        <v>163</v>
      </c>
      <c r="C88" s="29">
        <v>163.7785570218974</v>
      </c>
      <c r="D88" s="29">
        <f t="shared" si="4"/>
        <v>-0.77855702189739873</v>
      </c>
      <c r="E88" s="21">
        <f t="shared" si="5"/>
        <v>-0.10406930578867023</v>
      </c>
      <c r="F88" s="21">
        <f t="shared" si="6"/>
        <v>0.10406930578867023</v>
      </c>
      <c r="G88" s="21">
        <v>5.5487515381660718E-3</v>
      </c>
      <c r="H88" s="21">
        <f t="shared" si="7"/>
        <v>2.0255937305118911E-5</v>
      </c>
    </row>
    <row r="89" spans="1:8" outlineLevel="1" x14ac:dyDescent="0.2">
      <c r="A89" s="30">
        <v>40</v>
      </c>
      <c r="B89" s="29">
        <v>171</v>
      </c>
      <c r="C89" s="29">
        <v>168.67539895317407</v>
      </c>
      <c r="D89" s="29">
        <f t="shared" si="4"/>
        <v>2.3246010468259328</v>
      </c>
      <c r="E89" s="21">
        <f t="shared" si="5"/>
        <v>0.3107281937926854</v>
      </c>
      <c r="F89" s="21">
        <f t="shared" si="6"/>
        <v>0.3107281937926854</v>
      </c>
      <c r="G89" s="21">
        <v>3.9176596938640881E-2</v>
      </c>
      <c r="H89" s="21">
        <f t="shared" si="7"/>
        <v>1.3657764796262981E-3</v>
      </c>
    </row>
    <row r="90" spans="1:8" outlineLevel="1" x14ac:dyDescent="0.2">
      <c r="A90" s="30">
        <v>41</v>
      </c>
      <c r="B90" s="29">
        <v>151</v>
      </c>
      <c r="C90" s="29">
        <v>158.06343157281444</v>
      </c>
      <c r="D90" s="29">
        <f t="shared" si="4"/>
        <v>-7.0634315728144372</v>
      </c>
      <c r="E90" s="21">
        <f t="shared" si="5"/>
        <v>-0.94416516657587368</v>
      </c>
      <c r="F90" s="21">
        <f t="shared" si="6"/>
        <v>0.94416516657587368</v>
      </c>
      <c r="G90" s="21">
        <v>9.7372368403991095E-3</v>
      </c>
      <c r="H90" s="21">
        <f t="shared" si="7"/>
        <v>2.9505945049992381E-3</v>
      </c>
    </row>
    <row r="91" spans="1:8" outlineLevel="1" x14ac:dyDescent="0.2">
      <c r="A91" s="30">
        <v>42</v>
      </c>
      <c r="B91" s="29">
        <v>171</v>
      </c>
      <c r="C91" s="29">
        <v>169.07396159924639</v>
      </c>
      <c r="D91" s="29">
        <f t="shared" si="4"/>
        <v>1.9260384007536118</v>
      </c>
      <c r="E91" s="21">
        <f t="shared" si="5"/>
        <v>0.25745253546138325</v>
      </c>
      <c r="F91" s="21">
        <f t="shared" si="6"/>
        <v>0.25745253546138325</v>
      </c>
      <c r="G91" s="21">
        <v>9.9481917103984054E-3</v>
      </c>
      <c r="H91" s="21">
        <f t="shared" si="7"/>
        <v>2.2423396429143013E-4</v>
      </c>
    </row>
    <row r="92" spans="1:8" outlineLevel="1" x14ac:dyDescent="0.2">
      <c r="A92" s="30">
        <v>43</v>
      </c>
      <c r="B92" s="29">
        <v>156</v>
      </c>
      <c r="C92" s="29">
        <v>159.20700050835032</v>
      </c>
      <c r="D92" s="29">
        <f t="shared" si="4"/>
        <v>-3.207000508350319</v>
      </c>
      <c r="E92" s="21">
        <f t="shared" si="5"/>
        <v>-0.42867806362410937</v>
      </c>
      <c r="F92" s="21">
        <f t="shared" si="6"/>
        <v>0.42867806362410937</v>
      </c>
      <c r="G92" s="21">
        <v>6.9520479439377702E-3</v>
      </c>
      <c r="H92" s="21">
        <f t="shared" si="7"/>
        <v>4.3183076952407512E-4</v>
      </c>
    </row>
    <row r="93" spans="1:8" outlineLevel="1" x14ac:dyDescent="0.2">
      <c r="A93" s="30">
        <v>44</v>
      </c>
      <c r="B93" s="29">
        <v>163</v>
      </c>
      <c r="C93" s="29">
        <v>159.20821578290705</v>
      </c>
      <c r="D93" s="29">
        <f t="shared" si="4"/>
        <v>3.7917842170929532</v>
      </c>
      <c r="E93" s="21">
        <f t="shared" si="5"/>
        <v>0.50684579301797517</v>
      </c>
      <c r="F93" s="21">
        <f t="shared" si="6"/>
        <v>0.50684579301797517</v>
      </c>
      <c r="G93" s="21">
        <v>1.4821422007005777E-2</v>
      </c>
      <c r="H93" s="21">
        <f t="shared" si="7"/>
        <v>1.3076466054156334E-3</v>
      </c>
    </row>
    <row r="94" spans="1:8" outlineLevel="1" x14ac:dyDescent="0.2">
      <c r="A94" s="30">
        <v>45</v>
      </c>
      <c r="B94" s="29">
        <v>147</v>
      </c>
      <c r="C94" s="29">
        <v>146.66147645884951</v>
      </c>
      <c r="D94" s="29">
        <f t="shared" si="4"/>
        <v>0.33852354115049366</v>
      </c>
      <c r="E94" s="21">
        <f t="shared" si="5"/>
        <v>4.5250262896346913E-2</v>
      </c>
      <c r="F94" s="21">
        <f t="shared" si="6"/>
        <v>4.5250262896346913E-2</v>
      </c>
      <c r="G94" s="21">
        <v>2.0072477817348333E-2</v>
      </c>
      <c r="H94" s="21">
        <f t="shared" si="7"/>
        <v>1.4267045114760984E-5</v>
      </c>
    </row>
    <row r="95" spans="1:8" outlineLevel="1" x14ac:dyDescent="0.2">
      <c r="A95" s="30">
        <v>46</v>
      </c>
      <c r="B95" s="29">
        <v>194</v>
      </c>
      <c r="C95" s="29">
        <v>182.94458124356265</v>
      </c>
      <c r="D95" s="29">
        <f t="shared" si="4"/>
        <v>11.055418756437348</v>
      </c>
      <c r="E95" s="21">
        <f t="shared" si="5"/>
        <v>1.4777719843583916</v>
      </c>
      <c r="F95" s="21">
        <f t="shared" si="6"/>
        <v>1.4777719843583916</v>
      </c>
      <c r="G95" s="21">
        <v>7.3825360557401354E-2</v>
      </c>
      <c r="H95" s="21">
        <f t="shared" si="7"/>
        <v>6.2648894225961829E-2</v>
      </c>
    </row>
    <row r="96" spans="1:8" outlineLevel="1" x14ac:dyDescent="0.2">
      <c r="A96" s="30">
        <v>47</v>
      </c>
      <c r="B96" s="29">
        <v>151</v>
      </c>
      <c r="C96" s="29">
        <v>154.67346945525097</v>
      </c>
      <c r="D96" s="29">
        <f t="shared" si="4"/>
        <v>-3.6734694552509666</v>
      </c>
      <c r="E96" s="21">
        <f t="shared" si="5"/>
        <v>-0.49103072131078029</v>
      </c>
      <c r="F96" s="21">
        <f t="shared" si="6"/>
        <v>0.49103072131078029</v>
      </c>
      <c r="G96" s="21">
        <v>2.1100382617605936E-2</v>
      </c>
      <c r="H96" s="21">
        <f t="shared" si="7"/>
        <v>1.7697425283165987E-3</v>
      </c>
    </row>
    <row r="97" spans="1:8" outlineLevel="1" x14ac:dyDescent="0.2">
      <c r="A97" s="30">
        <v>48</v>
      </c>
      <c r="B97" s="29">
        <v>160</v>
      </c>
      <c r="C97" s="29">
        <v>161.09066629043872</v>
      </c>
      <c r="D97" s="29">
        <f t="shared" si="4"/>
        <v>-1.090666290438719</v>
      </c>
      <c r="E97" s="21">
        <f t="shared" si="5"/>
        <v>-0.14578878682057508</v>
      </c>
      <c r="F97" s="21">
        <f t="shared" si="6"/>
        <v>0.14578878682057508</v>
      </c>
      <c r="G97" s="21">
        <v>1.462038355762837E-2</v>
      </c>
      <c r="H97" s="21">
        <f t="shared" si="7"/>
        <v>1.0667891920705902E-4</v>
      </c>
    </row>
    <row r="98" spans="1:8" outlineLevel="1" x14ac:dyDescent="0.2">
      <c r="A98" s="30">
        <v>49</v>
      </c>
      <c r="B98" s="29">
        <v>159</v>
      </c>
      <c r="C98" s="29">
        <v>156.37034643223151</v>
      </c>
      <c r="D98" s="29">
        <f t="shared" si="4"/>
        <v>2.6296535677684858</v>
      </c>
      <c r="E98" s="21">
        <f t="shared" si="5"/>
        <v>0.35150440310129399</v>
      </c>
      <c r="F98" s="21">
        <f t="shared" si="6"/>
        <v>0.35150440310129399</v>
      </c>
      <c r="G98" s="21">
        <v>1.0469912191520389E-2</v>
      </c>
      <c r="H98" s="21">
        <f t="shared" si="7"/>
        <v>4.4037769688753454E-4</v>
      </c>
    </row>
    <row r="99" spans="1:8" outlineLevel="1" x14ac:dyDescent="0.2">
      <c r="A99" s="30">
        <v>50</v>
      </c>
      <c r="B99" s="29">
        <v>173</v>
      </c>
      <c r="C99" s="29">
        <v>172.09682170853898</v>
      </c>
      <c r="D99" s="29">
        <f t="shared" si="4"/>
        <v>0.90317829146101758</v>
      </c>
      <c r="E99" s="21">
        <f t="shared" si="5"/>
        <v>0.12072736505115247</v>
      </c>
      <c r="F99" s="21">
        <f t="shared" si="6"/>
        <v>0.12072736505115247</v>
      </c>
      <c r="G99" s="21">
        <v>1.6451291466224864E-2</v>
      </c>
      <c r="H99" s="21">
        <f t="shared" si="7"/>
        <v>8.262252080573023E-5</v>
      </c>
    </row>
    <row r="100" spans="1:8" outlineLevel="1" x14ac:dyDescent="0.2">
      <c r="A100" s="30">
        <v>51</v>
      </c>
      <c r="B100" s="29">
        <v>175</v>
      </c>
      <c r="C100" s="29">
        <v>168.9675302650075</v>
      </c>
      <c r="D100" s="29">
        <f t="shared" si="4"/>
        <v>6.0324697349925032</v>
      </c>
      <c r="E100" s="21">
        <f t="shared" si="5"/>
        <v>0.80635704239344275</v>
      </c>
      <c r="F100" s="21">
        <f t="shared" si="6"/>
        <v>0.80635704239344275</v>
      </c>
      <c r="G100" s="21">
        <v>1.5039530146874452E-2</v>
      </c>
      <c r="H100" s="21">
        <f t="shared" si="7"/>
        <v>3.3599296046837135E-3</v>
      </c>
    </row>
    <row r="101" spans="1:8" outlineLevel="1" x14ac:dyDescent="0.2">
      <c r="A101" s="30">
        <v>52</v>
      </c>
      <c r="B101" s="29">
        <v>175</v>
      </c>
      <c r="C101" s="29">
        <v>167.56787881410128</v>
      </c>
      <c r="D101" s="29">
        <f t="shared" si="4"/>
        <v>7.4321211858987226</v>
      </c>
      <c r="E101" s="21">
        <f t="shared" si="5"/>
        <v>0.99344771237022833</v>
      </c>
      <c r="F101" s="21">
        <f t="shared" si="6"/>
        <v>0.99344771237022833</v>
      </c>
      <c r="G101" s="21">
        <v>8.9674514496438425E-3</v>
      </c>
      <c r="H101" s="21">
        <f t="shared" si="7"/>
        <v>3.0037374609603439E-3</v>
      </c>
    </row>
    <row r="102" spans="1:8" outlineLevel="1" x14ac:dyDescent="0.2">
      <c r="A102" s="30">
        <v>53</v>
      </c>
      <c r="B102" s="29">
        <v>174</v>
      </c>
      <c r="C102" s="29">
        <v>158.29881437712231</v>
      </c>
      <c r="D102" s="29">
        <f t="shared" si="4"/>
        <v>15.701185622877688</v>
      </c>
      <c r="E102" s="21">
        <f t="shared" si="5"/>
        <v>2.098769186937302</v>
      </c>
      <c r="F102" s="21">
        <f t="shared" si="6"/>
        <v>2.098769186937302</v>
      </c>
      <c r="G102" s="21">
        <v>7.1615527042112178E-3</v>
      </c>
      <c r="H102" s="21">
        <f t="shared" si="7"/>
        <v>1.0667388772394842E-2</v>
      </c>
    </row>
    <row r="103" spans="1:8" outlineLevel="1" x14ac:dyDescent="0.2">
      <c r="A103" s="30">
        <v>54</v>
      </c>
      <c r="B103" s="29">
        <v>188</v>
      </c>
      <c r="C103" s="29">
        <v>174.45247896516031</v>
      </c>
      <c r="D103" s="29">
        <f t="shared" si="4"/>
        <v>13.54752103483969</v>
      </c>
      <c r="E103" s="21">
        <f t="shared" si="5"/>
        <v>1.8108899792814064</v>
      </c>
      <c r="F103" s="21">
        <f t="shared" si="6"/>
        <v>1.8108899792814064</v>
      </c>
      <c r="G103" s="21">
        <v>3.4104995954461335E-2</v>
      </c>
      <c r="H103" s="21">
        <f t="shared" si="7"/>
        <v>3.9959591439299676E-2</v>
      </c>
    </row>
    <row r="104" spans="1:8" outlineLevel="1" x14ac:dyDescent="0.2">
      <c r="A104" s="30">
        <v>55</v>
      </c>
      <c r="B104" s="29">
        <v>185</v>
      </c>
      <c r="C104" s="29">
        <v>171.74550829779798</v>
      </c>
      <c r="D104" s="29">
        <f t="shared" si="4"/>
        <v>13.254491702202017</v>
      </c>
      <c r="E104" s="21">
        <f t="shared" si="5"/>
        <v>1.7717209032014032</v>
      </c>
      <c r="F104" s="21">
        <f t="shared" si="6"/>
        <v>1.7717209032014032</v>
      </c>
      <c r="G104" s="21">
        <v>1.6321122001900321E-2</v>
      </c>
      <c r="H104" s="21">
        <f t="shared" si="7"/>
        <v>1.7648698439969135E-2</v>
      </c>
    </row>
    <row r="105" spans="1:8" outlineLevel="1" x14ac:dyDescent="0.2">
      <c r="A105" s="30">
        <v>56</v>
      </c>
      <c r="B105" s="29">
        <v>164</v>
      </c>
      <c r="C105" s="29">
        <v>155.66787751419074</v>
      </c>
      <c r="D105" s="29">
        <f t="shared" si="4"/>
        <v>8.3321224858092648</v>
      </c>
      <c r="E105" s="21">
        <f t="shared" si="5"/>
        <v>1.1137504106393015</v>
      </c>
      <c r="F105" s="21">
        <f t="shared" si="6"/>
        <v>1.1137504106393015</v>
      </c>
      <c r="G105" s="21">
        <v>1.2114072513525453E-2</v>
      </c>
      <c r="H105" s="21">
        <f t="shared" si="7"/>
        <v>5.1325249682038047E-3</v>
      </c>
    </row>
    <row r="106" spans="1:8" outlineLevel="1" x14ac:dyDescent="0.2">
      <c r="A106" s="30">
        <v>57</v>
      </c>
      <c r="B106" s="29">
        <v>163</v>
      </c>
      <c r="C106" s="29">
        <v>167.64695265798085</v>
      </c>
      <c r="D106" s="29">
        <f t="shared" si="4"/>
        <v>-4.6469526579808473</v>
      </c>
      <c r="E106" s="21">
        <f t="shared" si="5"/>
        <v>-0.62115570670765086</v>
      </c>
      <c r="F106" s="21">
        <f t="shared" si="6"/>
        <v>0.62115570670765086</v>
      </c>
      <c r="G106" s="21">
        <v>1.0020630010487287E-2</v>
      </c>
      <c r="H106" s="21">
        <f t="shared" si="7"/>
        <v>1.3149899764948703E-3</v>
      </c>
    </row>
    <row r="107" spans="1:8" outlineLevel="1" x14ac:dyDescent="0.2">
      <c r="A107" s="30">
        <v>58</v>
      </c>
      <c r="B107" s="29">
        <v>176</v>
      </c>
      <c r="C107" s="29">
        <v>171.79840125069234</v>
      </c>
      <c r="D107" s="29">
        <f t="shared" si="4"/>
        <v>4.2015987493076636</v>
      </c>
      <c r="E107" s="21">
        <f t="shared" si="5"/>
        <v>0.56162548502531795</v>
      </c>
      <c r="F107" s="21">
        <f t="shared" si="6"/>
        <v>0.56162548502531795</v>
      </c>
      <c r="G107" s="21">
        <v>2.3487057325641533E-2</v>
      </c>
      <c r="H107" s="21">
        <f t="shared" si="7"/>
        <v>2.5896731786805992E-3</v>
      </c>
    </row>
    <row r="108" spans="1:8" outlineLevel="1" x14ac:dyDescent="0.2">
      <c r="A108" s="30">
        <v>59</v>
      </c>
      <c r="B108" s="29">
        <v>172</v>
      </c>
      <c r="C108" s="29">
        <v>166.64706019752742</v>
      </c>
      <c r="D108" s="29">
        <f t="shared" si="4"/>
        <v>5.3529398024725765</v>
      </c>
      <c r="E108" s="21">
        <f t="shared" si="5"/>
        <v>0.71552463532372623</v>
      </c>
      <c r="F108" s="21">
        <f t="shared" si="6"/>
        <v>0.71552463532372623</v>
      </c>
      <c r="G108" s="21">
        <v>8.5336161729974176E-3</v>
      </c>
      <c r="H108" s="21">
        <f t="shared" si="7"/>
        <v>1.4815115608421434E-3</v>
      </c>
    </row>
    <row r="109" spans="1:8" outlineLevel="1" x14ac:dyDescent="0.2">
      <c r="A109" s="30">
        <v>60</v>
      </c>
      <c r="B109" s="29">
        <v>122</v>
      </c>
      <c r="C109" s="29">
        <v>132.78469715783194</v>
      </c>
      <c r="D109" s="29">
        <f t="shared" si="4"/>
        <v>-10.784697157831943</v>
      </c>
      <c r="E109" s="21">
        <f t="shared" si="5"/>
        <v>-1.4415847713008278</v>
      </c>
      <c r="F109" s="21">
        <f t="shared" si="6"/>
        <v>1.4415847713008278</v>
      </c>
      <c r="G109" s="21">
        <v>0.14411305518368606</v>
      </c>
      <c r="H109" s="21">
        <f t="shared" si="7"/>
        <v>0.13627921971893517</v>
      </c>
    </row>
    <row r="110" spans="1:8" outlineLevel="1" x14ac:dyDescent="0.2">
      <c r="A110" s="30">
        <v>61</v>
      </c>
      <c r="B110" s="29">
        <v>168</v>
      </c>
      <c r="C110" s="29">
        <v>160.30307213122086</v>
      </c>
      <c r="D110" s="29">
        <f t="shared" si="4"/>
        <v>7.6969278687791416</v>
      </c>
      <c r="E110" s="21">
        <f t="shared" si="5"/>
        <v>1.0288442817678101</v>
      </c>
      <c r="F110" s="21">
        <f t="shared" si="6"/>
        <v>1.0288442817678101</v>
      </c>
      <c r="G110" s="21">
        <v>2.0173880027051158E-2</v>
      </c>
      <c r="H110" s="21">
        <f t="shared" si="7"/>
        <v>7.4142879733903634E-3</v>
      </c>
    </row>
    <row r="111" spans="1:8" outlineLevel="1" x14ac:dyDescent="0.2">
      <c r="A111" s="30">
        <v>62</v>
      </c>
      <c r="B111" s="29">
        <v>171</v>
      </c>
      <c r="C111" s="29">
        <v>180.73891871734415</v>
      </c>
      <c r="D111" s="29">
        <f t="shared" si="4"/>
        <v>-9.7389187173441485</v>
      </c>
      <c r="E111" s="21">
        <f t="shared" si="5"/>
        <v>-1.3017961196679799</v>
      </c>
      <c r="F111" s="21">
        <f t="shared" si="6"/>
        <v>1.3017961196679799</v>
      </c>
      <c r="G111" s="21">
        <v>2.1015245430484053E-2</v>
      </c>
      <c r="H111" s="21">
        <f t="shared" si="7"/>
        <v>1.2386462711140614E-2</v>
      </c>
    </row>
    <row r="112" spans="1:8" outlineLevel="1" x14ac:dyDescent="0.2">
      <c r="A112" s="30">
        <v>63</v>
      </c>
      <c r="B112" s="29">
        <v>171</v>
      </c>
      <c r="C112" s="29">
        <v>163.4603916041778</v>
      </c>
      <c r="D112" s="29">
        <f t="shared" si="4"/>
        <v>7.5396083958221993</v>
      </c>
      <c r="E112" s="21">
        <f t="shared" si="5"/>
        <v>1.0078154709329037</v>
      </c>
      <c r="F112" s="21">
        <f t="shared" si="6"/>
        <v>1.0078154709329037</v>
      </c>
      <c r="G112" s="21">
        <v>1.908418636012086E-2</v>
      </c>
      <c r="H112" s="21">
        <f t="shared" si="7"/>
        <v>6.7150764900474579E-3</v>
      </c>
    </row>
    <row r="113" spans="1:8" outlineLevel="1" x14ac:dyDescent="0.2">
      <c r="A113" s="30">
        <v>64</v>
      </c>
      <c r="B113" s="29">
        <v>172</v>
      </c>
      <c r="C113" s="29">
        <v>163.52742729978098</v>
      </c>
      <c r="D113" s="29">
        <f t="shared" si="4"/>
        <v>8.4725727002190183</v>
      </c>
      <c r="E113" s="21">
        <f t="shared" si="5"/>
        <v>1.1325243165965959</v>
      </c>
      <c r="F113" s="21">
        <f t="shared" si="6"/>
        <v>1.1325243165965959</v>
      </c>
      <c r="G113" s="21">
        <v>1.8570555372765168E-2</v>
      </c>
      <c r="H113" s="21">
        <f t="shared" si="7"/>
        <v>8.2429096869792752E-3</v>
      </c>
    </row>
    <row r="114" spans="1:8" outlineLevel="1" x14ac:dyDescent="0.2">
      <c r="A114" s="30">
        <v>65</v>
      </c>
      <c r="B114" s="29">
        <v>150</v>
      </c>
      <c r="C114" s="29">
        <v>145.08224555717928</v>
      </c>
      <c r="D114" s="29">
        <f t="shared" ref="D114:D177" si="8">B114 - C114</f>
        <v>4.9177544428207227</v>
      </c>
      <c r="E114" s="21">
        <f t="shared" ref="E114:E177" si="9">D114 /7.48113976544041</f>
        <v>0.65735363821681214</v>
      </c>
      <c r="F114" s="21">
        <f t="shared" ref="F114:F177" si="10">ABS(E114)</f>
        <v>0.65735363821681214</v>
      </c>
      <c r="G114" s="21">
        <v>2.0146403038613935E-2</v>
      </c>
      <c r="H114" s="21">
        <f t="shared" si="7"/>
        <v>3.0224005714635555E-3</v>
      </c>
    </row>
    <row r="115" spans="1:8" outlineLevel="1" x14ac:dyDescent="0.2">
      <c r="A115" s="30">
        <v>66</v>
      </c>
      <c r="B115" s="29">
        <v>172</v>
      </c>
      <c r="C115" s="29">
        <v>155.47719502985964</v>
      </c>
      <c r="D115" s="29">
        <f t="shared" si="8"/>
        <v>16.522804970140356</v>
      </c>
      <c r="E115" s="21">
        <f t="shared" si="9"/>
        <v>2.2085946110067987</v>
      </c>
      <c r="F115" s="21">
        <f t="shared" si="10"/>
        <v>2.2085946110067987</v>
      </c>
      <c r="G115" s="21">
        <v>1.0129244375178637E-2</v>
      </c>
      <c r="H115" s="21">
        <f t="shared" ref="H115:H178" si="11">(F115^2/3)*(G115/(1-G115)^2)</f>
        <v>1.680857215806934E-2</v>
      </c>
    </row>
    <row r="116" spans="1:8" outlineLevel="1" x14ac:dyDescent="0.2">
      <c r="A116" s="30">
        <v>67</v>
      </c>
      <c r="B116" s="29">
        <v>144</v>
      </c>
      <c r="C116" s="29">
        <v>148.82147857962454</v>
      </c>
      <c r="D116" s="29">
        <f t="shared" si="8"/>
        <v>-4.8214785796245394</v>
      </c>
      <c r="E116" s="21">
        <f t="shared" si="9"/>
        <v>-0.64448449444797962</v>
      </c>
      <c r="F116" s="21">
        <f t="shared" si="10"/>
        <v>0.64448449444797962</v>
      </c>
      <c r="G116" s="21">
        <v>3.6874508186200777E-2</v>
      </c>
      <c r="H116" s="21">
        <f t="shared" si="11"/>
        <v>5.5038193735803013E-3</v>
      </c>
    </row>
    <row r="117" spans="1:8" outlineLevel="1" x14ac:dyDescent="0.2">
      <c r="A117" s="30">
        <v>68</v>
      </c>
      <c r="B117" s="29">
        <v>154</v>
      </c>
      <c r="C117" s="29">
        <v>158.44703662484099</v>
      </c>
      <c r="D117" s="29">
        <f t="shared" si="8"/>
        <v>-4.4470366248409903</v>
      </c>
      <c r="E117" s="21">
        <f t="shared" si="9"/>
        <v>-0.59443303617776966</v>
      </c>
      <c r="F117" s="21">
        <f t="shared" si="10"/>
        <v>0.59443303617776966</v>
      </c>
      <c r="G117" s="21">
        <v>6.0648069145011942E-3</v>
      </c>
      <c r="H117" s="21">
        <f t="shared" si="11"/>
        <v>7.2307852419562022E-4</v>
      </c>
    </row>
    <row r="118" spans="1:8" outlineLevel="1" x14ac:dyDescent="0.2">
      <c r="A118" s="30">
        <v>69</v>
      </c>
      <c r="B118" s="29">
        <v>160</v>
      </c>
      <c r="C118" s="29">
        <v>159.4078487014531</v>
      </c>
      <c r="D118" s="29">
        <f t="shared" si="8"/>
        <v>0.59215129854689508</v>
      </c>
      <c r="E118" s="21">
        <f t="shared" si="9"/>
        <v>7.9152551230545751E-2</v>
      </c>
      <c r="F118" s="21">
        <f t="shared" si="10"/>
        <v>7.9152551230545751E-2</v>
      </c>
      <c r="G118" s="21">
        <v>2.7721103819402987E-2</v>
      </c>
      <c r="H118" s="21">
        <f t="shared" si="11"/>
        <v>6.1240310098318568E-5</v>
      </c>
    </row>
    <row r="119" spans="1:8" outlineLevel="1" x14ac:dyDescent="0.2">
      <c r="A119" s="30">
        <v>70</v>
      </c>
      <c r="B119" s="29">
        <v>159</v>
      </c>
      <c r="C119" s="29">
        <v>156.10421002411991</v>
      </c>
      <c r="D119" s="29">
        <f t="shared" si="8"/>
        <v>2.895789975880092</v>
      </c>
      <c r="E119" s="21">
        <f t="shared" si="9"/>
        <v>0.38707871616800604</v>
      </c>
      <c r="F119" s="21">
        <f t="shared" si="10"/>
        <v>0.38707871616800604</v>
      </c>
      <c r="G119" s="21">
        <v>1.2331679197213475E-2</v>
      </c>
      <c r="H119" s="21">
        <f t="shared" si="11"/>
        <v>6.3136034252517183E-4</v>
      </c>
    </row>
    <row r="120" spans="1:8" outlineLevel="1" x14ac:dyDescent="0.2">
      <c r="A120" s="30">
        <v>71</v>
      </c>
      <c r="B120" s="29">
        <v>156</v>
      </c>
      <c r="C120" s="29">
        <v>161.90751024251051</v>
      </c>
      <c r="D120" s="29">
        <f t="shared" si="8"/>
        <v>-5.9075102425105115</v>
      </c>
      <c r="E120" s="21">
        <f t="shared" si="9"/>
        <v>-0.78965377305215201</v>
      </c>
      <c r="F120" s="21">
        <f t="shared" si="10"/>
        <v>0.78965377305215201</v>
      </c>
      <c r="G120" s="21">
        <v>5.722402582050529E-3</v>
      </c>
      <c r="H120" s="21">
        <f t="shared" si="11"/>
        <v>1.2031375309670238E-3</v>
      </c>
    </row>
    <row r="121" spans="1:8" outlineLevel="1" x14ac:dyDescent="0.2">
      <c r="A121" s="30">
        <v>72</v>
      </c>
      <c r="B121" s="29">
        <v>141</v>
      </c>
      <c r="C121" s="29">
        <v>141.30185581960484</v>
      </c>
      <c r="D121" s="29">
        <f t="shared" si="8"/>
        <v>-0.30185581960483887</v>
      </c>
      <c r="E121" s="21">
        <f t="shared" si="9"/>
        <v>-4.0348907929682126E-2</v>
      </c>
      <c r="F121" s="21">
        <f t="shared" si="10"/>
        <v>4.0348907929682126E-2</v>
      </c>
      <c r="G121" s="21">
        <v>2.4285981213170799E-2</v>
      </c>
      <c r="H121" s="21">
        <f t="shared" si="11"/>
        <v>1.3843722327442406E-5</v>
      </c>
    </row>
    <row r="122" spans="1:8" outlineLevel="1" x14ac:dyDescent="0.2">
      <c r="A122" s="30">
        <v>73</v>
      </c>
      <c r="B122" s="29">
        <v>154</v>
      </c>
      <c r="C122" s="29">
        <v>155.68098841335819</v>
      </c>
      <c r="D122" s="29">
        <f t="shared" si="8"/>
        <v>-1.6809884133581932</v>
      </c>
      <c r="E122" s="21">
        <f t="shared" si="9"/>
        <v>-0.22469683311139613</v>
      </c>
      <c r="F122" s="21">
        <f t="shared" si="10"/>
        <v>0.22469683311139613</v>
      </c>
      <c r="G122" s="21">
        <v>7.5305199166480988E-3</v>
      </c>
      <c r="H122" s="21">
        <f t="shared" si="11"/>
        <v>1.2866584865484397E-4</v>
      </c>
    </row>
    <row r="123" spans="1:8" outlineLevel="1" x14ac:dyDescent="0.2">
      <c r="A123" s="30">
        <v>74</v>
      </c>
      <c r="B123" s="29">
        <v>154</v>
      </c>
      <c r="C123" s="29">
        <v>160.75357394331547</v>
      </c>
      <c r="D123" s="29">
        <f t="shared" si="8"/>
        <v>-6.7535739433154731</v>
      </c>
      <c r="E123" s="21">
        <f t="shared" si="9"/>
        <v>-0.90274666094517142</v>
      </c>
      <c r="F123" s="21">
        <f t="shared" si="10"/>
        <v>0.90274666094517142</v>
      </c>
      <c r="G123" s="21">
        <v>1.7373538267403961E-2</v>
      </c>
      <c r="H123" s="21">
        <f t="shared" si="11"/>
        <v>4.8878952624202146E-3</v>
      </c>
    </row>
    <row r="124" spans="1:8" outlineLevel="1" x14ac:dyDescent="0.2">
      <c r="A124" s="30">
        <v>75</v>
      </c>
      <c r="B124" s="29">
        <v>158</v>
      </c>
      <c r="C124" s="29">
        <v>169.43781602208713</v>
      </c>
      <c r="D124" s="29">
        <f t="shared" si="8"/>
        <v>-11.437816022087134</v>
      </c>
      <c r="E124" s="21">
        <f t="shared" si="9"/>
        <v>-1.5288868248291303</v>
      </c>
      <c r="F124" s="21">
        <f t="shared" si="10"/>
        <v>1.5288868248291303</v>
      </c>
      <c r="G124" s="21">
        <v>1.3804097910732352E-2</v>
      </c>
      <c r="H124" s="21">
        <f t="shared" si="11"/>
        <v>1.1058877959519684E-2</v>
      </c>
    </row>
    <row r="125" spans="1:8" outlineLevel="1" x14ac:dyDescent="0.2">
      <c r="A125" s="30">
        <v>76</v>
      </c>
      <c r="B125" s="29">
        <v>156</v>
      </c>
      <c r="C125" s="29">
        <v>167.90232973128403</v>
      </c>
      <c r="D125" s="29">
        <f t="shared" si="8"/>
        <v>-11.902329731284027</v>
      </c>
      <c r="E125" s="21">
        <f t="shared" si="9"/>
        <v>-1.5909781269249343</v>
      </c>
      <c r="F125" s="21">
        <f t="shared" si="10"/>
        <v>1.5909781269249343</v>
      </c>
      <c r="G125" s="21">
        <v>1.8318652272367859E-2</v>
      </c>
      <c r="H125" s="21">
        <f t="shared" si="11"/>
        <v>1.6038346920985738E-2</v>
      </c>
    </row>
    <row r="126" spans="1:8" outlineLevel="1" x14ac:dyDescent="0.2">
      <c r="A126" s="30">
        <v>77</v>
      </c>
      <c r="B126" s="29">
        <v>151</v>
      </c>
      <c r="C126" s="29">
        <v>156.27390315358801</v>
      </c>
      <c r="D126" s="29">
        <f t="shared" si="8"/>
        <v>-5.2739031535880088</v>
      </c>
      <c r="E126" s="21">
        <f t="shared" si="9"/>
        <v>-0.70495984822408098</v>
      </c>
      <c r="F126" s="21">
        <f t="shared" si="10"/>
        <v>0.70495984822408098</v>
      </c>
      <c r="G126" s="21">
        <v>1.6120379960581192E-2</v>
      </c>
      <c r="H126" s="21">
        <f t="shared" si="11"/>
        <v>2.7586642939007614E-3</v>
      </c>
    </row>
    <row r="127" spans="1:8" outlineLevel="1" x14ac:dyDescent="0.2">
      <c r="A127" s="30">
        <v>78</v>
      </c>
      <c r="B127" s="29">
        <v>139</v>
      </c>
      <c r="C127" s="29">
        <v>146.10898364473874</v>
      </c>
      <c r="D127" s="29">
        <f t="shared" si="8"/>
        <v>-7.1089836447387427</v>
      </c>
      <c r="E127" s="21">
        <f t="shared" si="9"/>
        <v>-0.95025408796386002</v>
      </c>
      <c r="F127" s="21">
        <f t="shared" si="10"/>
        <v>0.95025408796386002</v>
      </c>
      <c r="G127" s="21">
        <v>2.1148562050700474E-2</v>
      </c>
      <c r="H127" s="21">
        <f t="shared" si="11"/>
        <v>6.6436312006662758E-3</v>
      </c>
    </row>
    <row r="128" spans="1:8" outlineLevel="1" x14ac:dyDescent="0.2">
      <c r="A128" s="30">
        <v>79</v>
      </c>
      <c r="B128" s="29">
        <v>128</v>
      </c>
      <c r="C128" s="29">
        <v>138.03370258299731</v>
      </c>
      <c r="D128" s="29">
        <f t="shared" si="8"/>
        <v>-10.033702582997307</v>
      </c>
      <c r="E128" s="21">
        <f t="shared" si="9"/>
        <v>-1.3411997232492059</v>
      </c>
      <c r="F128" s="21">
        <f t="shared" si="10"/>
        <v>1.3411997232492059</v>
      </c>
      <c r="G128" s="21">
        <v>5.4415067082872463E-2</v>
      </c>
      <c r="H128" s="21">
        <f t="shared" si="11"/>
        <v>3.649082964780466E-2</v>
      </c>
    </row>
    <row r="129" spans="1:8" outlineLevel="1" x14ac:dyDescent="0.2">
      <c r="A129" s="30">
        <v>80</v>
      </c>
      <c r="B129" s="29">
        <v>165</v>
      </c>
      <c r="C129" s="29">
        <v>168.52764852187912</v>
      </c>
      <c r="D129" s="29">
        <f t="shared" si="8"/>
        <v>-3.5276485218791152</v>
      </c>
      <c r="E129" s="21">
        <f t="shared" si="9"/>
        <v>-0.47153891418728822</v>
      </c>
      <c r="F129" s="21">
        <f t="shared" si="10"/>
        <v>0.47153891418728822</v>
      </c>
      <c r="G129" s="21">
        <v>1.5065355428693594E-2</v>
      </c>
      <c r="H129" s="21">
        <f t="shared" si="11"/>
        <v>1.1510080951953985E-3</v>
      </c>
    </row>
    <row r="130" spans="1:8" outlineLevel="1" x14ac:dyDescent="0.2">
      <c r="A130" s="30">
        <v>81</v>
      </c>
      <c r="B130" s="29">
        <v>177</v>
      </c>
      <c r="C130" s="29">
        <v>179.80780735663461</v>
      </c>
      <c r="D130" s="29">
        <f t="shared" si="8"/>
        <v>-2.807807356634612</v>
      </c>
      <c r="E130" s="21">
        <f t="shared" si="9"/>
        <v>-0.37531812593656549</v>
      </c>
      <c r="F130" s="21">
        <f t="shared" si="10"/>
        <v>0.37531812593656549</v>
      </c>
      <c r="G130" s="21">
        <v>1.8931406354248184E-2</v>
      </c>
      <c r="H130" s="21">
        <f t="shared" si="11"/>
        <v>9.2355327940589103E-4</v>
      </c>
    </row>
    <row r="131" spans="1:8" outlineLevel="1" x14ac:dyDescent="0.2">
      <c r="A131" s="30">
        <v>82</v>
      </c>
      <c r="B131" s="29">
        <v>174</v>
      </c>
      <c r="C131" s="29">
        <v>161.64958032595777</v>
      </c>
      <c r="D131" s="29">
        <f t="shared" si="8"/>
        <v>12.350419674042229</v>
      </c>
      <c r="E131" s="21">
        <f t="shared" si="9"/>
        <v>1.6508740728379063</v>
      </c>
      <c r="F131" s="21">
        <f t="shared" si="10"/>
        <v>1.6508740728379063</v>
      </c>
      <c r="G131" s="21">
        <v>9.5059717205669796E-3</v>
      </c>
      <c r="H131" s="21">
        <f t="shared" si="11"/>
        <v>8.802366236556591E-3</v>
      </c>
    </row>
    <row r="132" spans="1:8" outlineLevel="1" x14ac:dyDescent="0.2">
      <c r="A132" s="30">
        <v>83</v>
      </c>
      <c r="B132" s="29">
        <v>180</v>
      </c>
      <c r="C132" s="29">
        <v>174.73288182272501</v>
      </c>
      <c r="D132" s="29">
        <f t="shared" si="8"/>
        <v>5.2671181772749947</v>
      </c>
      <c r="E132" s="21">
        <f t="shared" si="9"/>
        <v>0.70405290402496878</v>
      </c>
      <c r="F132" s="21">
        <f t="shared" si="10"/>
        <v>0.70405290402496878</v>
      </c>
      <c r="G132" s="21">
        <v>1.8437416597270939E-2</v>
      </c>
      <c r="H132" s="21">
        <f t="shared" si="11"/>
        <v>3.1619384550724021E-3</v>
      </c>
    </row>
    <row r="133" spans="1:8" outlineLevel="1" x14ac:dyDescent="0.2">
      <c r="A133" s="30">
        <v>84</v>
      </c>
      <c r="B133" s="29">
        <v>169</v>
      </c>
      <c r="C133" s="29">
        <v>174.63445476834076</v>
      </c>
      <c r="D133" s="29">
        <f t="shared" si="8"/>
        <v>-5.6344547683407598</v>
      </c>
      <c r="E133" s="21">
        <f t="shared" si="9"/>
        <v>-0.75315459208093849</v>
      </c>
      <c r="F133" s="21">
        <f t="shared" si="10"/>
        <v>0.75315459208093849</v>
      </c>
      <c r="G133" s="21">
        <v>1.1052974263599004E-2</v>
      </c>
      <c r="H133" s="21">
        <f t="shared" si="11"/>
        <v>2.1368798484321045E-3</v>
      </c>
    </row>
    <row r="134" spans="1:8" outlineLevel="1" x14ac:dyDescent="0.2">
      <c r="A134" s="30">
        <v>85</v>
      </c>
      <c r="B134" s="29">
        <v>169</v>
      </c>
      <c r="C134" s="29">
        <v>171.01200769255968</v>
      </c>
      <c r="D134" s="29">
        <f t="shared" si="8"/>
        <v>-2.0120076925596777</v>
      </c>
      <c r="E134" s="21">
        <f t="shared" si="9"/>
        <v>-0.26894400527768136</v>
      </c>
      <c r="F134" s="21">
        <f t="shared" si="10"/>
        <v>0.26894400527768136</v>
      </c>
      <c r="G134" s="21">
        <v>1.6313493733603798E-2</v>
      </c>
      <c r="H134" s="21">
        <f t="shared" si="11"/>
        <v>4.0647705417832798E-4</v>
      </c>
    </row>
    <row r="135" spans="1:8" outlineLevel="1" x14ac:dyDescent="0.2">
      <c r="A135" s="30">
        <v>86</v>
      </c>
      <c r="B135" s="29">
        <v>163</v>
      </c>
      <c r="C135" s="29">
        <v>159.65277234442172</v>
      </c>
      <c r="D135" s="29">
        <f t="shared" si="8"/>
        <v>3.3472276555782798</v>
      </c>
      <c r="E135" s="21">
        <f t="shared" si="9"/>
        <v>0.44742215230906468</v>
      </c>
      <c r="F135" s="21">
        <f t="shared" si="10"/>
        <v>0.44742215230906468</v>
      </c>
      <c r="G135" s="21">
        <v>5.6721643063276667E-3</v>
      </c>
      <c r="H135" s="21">
        <f t="shared" si="11"/>
        <v>3.8282766837394682E-4</v>
      </c>
    </row>
    <row r="136" spans="1:8" outlineLevel="1" x14ac:dyDescent="0.2">
      <c r="A136" s="30">
        <v>87</v>
      </c>
      <c r="B136" s="29">
        <v>153</v>
      </c>
      <c r="C136" s="29">
        <v>150.84783296648121</v>
      </c>
      <c r="D136" s="29">
        <f t="shared" si="8"/>
        <v>2.1521670335187935</v>
      </c>
      <c r="E136" s="21">
        <f t="shared" si="9"/>
        <v>0.28767903033450365</v>
      </c>
      <c r="F136" s="21">
        <f t="shared" si="10"/>
        <v>0.28767903033450365</v>
      </c>
      <c r="G136" s="21">
        <v>2.1032884929374759E-2</v>
      </c>
      <c r="H136" s="21">
        <f t="shared" si="11"/>
        <v>6.0542143979998124E-4</v>
      </c>
    </row>
    <row r="137" spans="1:8" outlineLevel="1" x14ac:dyDescent="0.2">
      <c r="A137" s="30">
        <v>88</v>
      </c>
      <c r="B137" s="29">
        <v>174</v>
      </c>
      <c r="C137" s="29">
        <v>177.96659051349411</v>
      </c>
      <c r="D137" s="29">
        <f t="shared" si="8"/>
        <v>-3.9665905134941113</v>
      </c>
      <c r="E137" s="21">
        <f t="shared" si="9"/>
        <v>-0.53021205830400631</v>
      </c>
      <c r="F137" s="21">
        <f t="shared" si="10"/>
        <v>0.53021205830400631</v>
      </c>
      <c r="G137" s="21">
        <v>2.4610048190930024E-2</v>
      </c>
      <c r="H137" s="21">
        <f t="shared" si="11"/>
        <v>2.4240069218587133E-3</v>
      </c>
    </row>
    <row r="138" spans="1:8" outlineLevel="1" x14ac:dyDescent="0.2">
      <c r="A138" s="30">
        <v>89</v>
      </c>
      <c r="B138" s="29">
        <v>160</v>
      </c>
      <c r="C138" s="29">
        <v>158.34545345827274</v>
      </c>
      <c r="D138" s="29">
        <f t="shared" si="8"/>
        <v>1.6545465417272567</v>
      </c>
      <c r="E138" s="21">
        <f t="shared" si="9"/>
        <v>0.22116236210029616</v>
      </c>
      <c r="F138" s="21">
        <f t="shared" si="10"/>
        <v>0.22116236210029616</v>
      </c>
      <c r="G138" s="21">
        <v>2.72732918998005E-2</v>
      </c>
      <c r="H138" s="21">
        <f t="shared" si="11"/>
        <v>4.699558548287323E-4</v>
      </c>
    </row>
    <row r="139" spans="1:8" outlineLevel="1" x14ac:dyDescent="0.2">
      <c r="A139" s="30">
        <v>90</v>
      </c>
      <c r="B139" s="29">
        <v>162</v>
      </c>
      <c r="C139" s="29">
        <v>162.78920478986436</v>
      </c>
      <c r="D139" s="29">
        <f t="shared" si="8"/>
        <v>-0.78920478986435683</v>
      </c>
      <c r="E139" s="21">
        <f t="shared" si="9"/>
        <v>-0.10549258730736957</v>
      </c>
      <c r="F139" s="21">
        <f t="shared" si="10"/>
        <v>0.10549258730736957</v>
      </c>
      <c r="G139" s="21">
        <v>5.798742422703276E-3</v>
      </c>
      <c r="H139" s="21">
        <f t="shared" si="11"/>
        <v>2.1762452435058733E-5</v>
      </c>
    </row>
    <row r="140" spans="1:8" outlineLevel="1" x14ac:dyDescent="0.2">
      <c r="A140" s="30">
        <v>91</v>
      </c>
      <c r="B140" s="29">
        <v>162</v>
      </c>
      <c r="C140" s="29">
        <v>151.860964887329</v>
      </c>
      <c r="D140" s="29">
        <f t="shared" si="8"/>
        <v>10.139035112670996</v>
      </c>
      <c r="E140" s="21">
        <f t="shared" si="9"/>
        <v>1.3552794668412558</v>
      </c>
      <c r="F140" s="21">
        <f t="shared" si="10"/>
        <v>1.3552794668412558</v>
      </c>
      <c r="G140" s="21">
        <v>1.522124433754736E-2</v>
      </c>
      <c r="H140" s="21">
        <f t="shared" si="11"/>
        <v>9.6096877824431003E-3</v>
      </c>
    </row>
    <row r="141" spans="1:8" outlineLevel="1" x14ac:dyDescent="0.2">
      <c r="A141" s="30">
        <v>92</v>
      </c>
      <c r="B141" s="29">
        <v>163</v>
      </c>
      <c r="C141" s="29">
        <v>173.02076234912604</v>
      </c>
      <c r="D141" s="29">
        <f t="shared" si="8"/>
        <v>-10.020762349126045</v>
      </c>
      <c r="E141" s="21">
        <f t="shared" si="9"/>
        <v>-1.3394700090242371</v>
      </c>
      <c r="F141" s="21">
        <f t="shared" si="10"/>
        <v>1.3394700090242371</v>
      </c>
      <c r="G141" s="21">
        <v>1.8043369993948441E-2</v>
      </c>
      <c r="H141" s="21">
        <f t="shared" si="11"/>
        <v>1.1191228799215119E-2</v>
      </c>
    </row>
    <row r="142" spans="1:8" outlineLevel="1" x14ac:dyDescent="0.2">
      <c r="A142" s="30">
        <v>93</v>
      </c>
      <c r="B142" s="29">
        <v>148</v>
      </c>
      <c r="C142" s="29">
        <v>137.91761355876483</v>
      </c>
      <c r="D142" s="29">
        <f t="shared" si="8"/>
        <v>10.082386441235172</v>
      </c>
      <c r="E142" s="21">
        <f t="shared" si="9"/>
        <v>1.3477072688591361</v>
      </c>
      <c r="F142" s="21">
        <f t="shared" si="10"/>
        <v>1.3477072688591361</v>
      </c>
      <c r="G142" s="21">
        <v>4.2189476271693359E-2</v>
      </c>
      <c r="H142" s="21">
        <f t="shared" si="11"/>
        <v>2.7842922085228452E-2</v>
      </c>
    </row>
    <row r="143" spans="1:8" outlineLevel="1" x14ac:dyDescent="0.2">
      <c r="A143" s="30">
        <v>94</v>
      </c>
      <c r="B143" s="29">
        <v>166</v>
      </c>
      <c r="C143" s="29">
        <v>169.31682221897773</v>
      </c>
      <c r="D143" s="29">
        <f t="shared" si="8"/>
        <v>-3.3168222189777339</v>
      </c>
      <c r="E143" s="21">
        <f t="shared" si="9"/>
        <v>-0.44335787366251328</v>
      </c>
      <c r="F143" s="21">
        <f t="shared" si="10"/>
        <v>0.44335787366251328</v>
      </c>
      <c r="G143" s="21">
        <v>8.48486356600835E-3</v>
      </c>
      <c r="H143" s="21">
        <f t="shared" si="11"/>
        <v>5.6550150201796837E-4</v>
      </c>
    </row>
    <row r="144" spans="1:8" outlineLevel="1" x14ac:dyDescent="0.2">
      <c r="A144" s="30">
        <v>95</v>
      </c>
      <c r="B144" s="29">
        <v>167</v>
      </c>
      <c r="C144" s="29">
        <v>156.42007934504682</v>
      </c>
      <c r="D144" s="29">
        <f t="shared" si="8"/>
        <v>10.579920654953185</v>
      </c>
      <c r="E144" s="21">
        <f t="shared" si="9"/>
        <v>1.414212404348838</v>
      </c>
      <c r="F144" s="21">
        <f t="shared" si="10"/>
        <v>1.414212404348838</v>
      </c>
      <c r="G144" s="21">
        <v>9.7386234235358644E-3</v>
      </c>
      <c r="H144" s="21">
        <f t="shared" si="11"/>
        <v>6.6207306734397363E-3</v>
      </c>
    </row>
    <row r="145" spans="1:8" outlineLevel="1" x14ac:dyDescent="0.2">
      <c r="A145" s="30">
        <v>96</v>
      </c>
      <c r="B145" s="29">
        <v>178</v>
      </c>
      <c r="C145" s="29">
        <v>165.80359899163838</v>
      </c>
      <c r="D145" s="29">
        <f t="shared" si="8"/>
        <v>12.196401008361619</v>
      </c>
      <c r="E145" s="21">
        <f t="shared" si="9"/>
        <v>1.6302864791677401</v>
      </c>
      <c r="F145" s="21">
        <f t="shared" si="10"/>
        <v>1.6302864791677401</v>
      </c>
      <c r="G145" s="21">
        <v>5.5893382318302322E-3</v>
      </c>
      <c r="H145" s="21">
        <f t="shared" si="11"/>
        <v>5.0076670512010221E-3</v>
      </c>
    </row>
    <row r="146" spans="1:8" outlineLevel="1" x14ac:dyDescent="0.2">
      <c r="A146" s="30">
        <v>97</v>
      </c>
      <c r="B146" s="29">
        <v>151</v>
      </c>
      <c r="C146" s="29">
        <v>144.98602438473375</v>
      </c>
      <c r="D146" s="29">
        <f t="shared" si="8"/>
        <v>6.0139756152662471</v>
      </c>
      <c r="E146" s="21">
        <f t="shared" si="9"/>
        <v>0.80388494318047377</v>
      </c>
      <c r="F146" s="21">
        <f t="shared" si="10"/>
        <v>0.80388494318047377</v>
      </c>
      <c r="G146" s="21">
        <v>4.6181701675961695E-2</v>
      </c>
      <c r="H146" s="21">
        <f t="shared" si="11"/>
        <v>1.0934657033783905E-2</v>
      </c>
    </row>
    <row r="147" spans="1:8" outlineLevel="1" x14ac:dyDescent="0.2">
      <c r="A147" s="30">
        <v>98</v>
      </c>
      <c r="B147" s="29">
        <v>173</v>
      </c>
      <c r="C147" s="29">
        <v>168.94565318219929</v>
      </c>
      <c r="D147" s="29">
        <f t="shared" si="8"/>
        <v>4.054346817800706</v>
      </c>
      <c r="E147" s="21">
        <f t="shared" si="9"/>
        <v>0.5419423971371331</v>
      </c>
      <c r="F147" s="21">
        <f t="shared" si="10"/>
        <v>0.5419423971371331</v>
      </c>
      <c r="G147" s="21">
        <v>2.2545530487235326E-2</v>
      </c>
      <c r="H147" s="21">
        <f t="shared" si="11"/>
        <v>2.3102149298483421E-3</v>
      </c>
    </row>
    <row r="148" spans="1:8" outlineLevel="1" x14ac:dyDescent="0.2">
      <c r="A148" s="30">
        <v>99</v>
      </c>
      <c r="B148" s="29">
        <v>171</v>
      </c>
      <c r="C148" s="29">
        <v>173.2509685535253</v>
      </c>
      <c r="D148" s="29">
        <f t="shared" si="8"/>
        <v>-2.250968553525297</v>
      </c>
      <c r="E148" s="21">
        <f t="shared" si="9"/>
        <v>-0.3008857773148132</v>
      </c>
      <c r="F148" s="21">
        <f t="shared" si="10"/>
        <v>0.3008857773148132</v>
      </c>
      <c r="G148" s="21">
        <v>2.293924648698055E-2</v>
      </c>
      <c r="H148" s="21">
        <f t="shared" si="11"/>
        <v>7.2513367516330405E-4</v>
      </c>
    </row>
    <row r="149" spans="1:8" outlineLevel="1" x14ac:dyDescent="0.2">
      <c r="A149" s="30">
        <v>100</v>
      </c>
      <c r="B149" s="29">
        <v>156</v>
      </c>
      <c r="C149" s="29">
        <v>159.35084503467255</v>
      </c>
      <c r="D149" s="29">
        <f t="shared" si="8"/>
        <v>-3.3508450346725454</v>
      </c>
      <c r="E149" s="21">
        <f t="shared" si="9"/>
        <v>-0.44790568546145632</v>
      </c>
      <c r="F149" s="21">
        <f t="shared" si="10"/>
        <v>0.44790568546145632</v>
      </c>
      <c r="G149" s="21">
        <v>8.1308837480884699E-3</v>
      </c>
      <c r="H149" s="21">
        <f t="shared" si="11"/>
        <v>5.5268911526070667E-4</v>
      </c>
    </row>
    <row r="150" spans="1:8" outlineLevel="1" x14ac:dyDescent="0.2">
      <c r="A150" s="30">
        <v>101</v>
      </c>
      <c r="B150" s="29">
        <v>164</v>
      </c>
      <c r="C150" s="29">
        <v>162.26329999588268</v>
      </c>
      <c r="D150" s="29">
        <f t="shared" si="8"/>
        <v>1.7367000041173242</v>
      </c>
      <c r="E150" s="21">
        <f t="shared" si="9"/>
        <v>0.23214377201454217</v>
      </c>
      <c r="F150" s="21">
        <f t="shared" si="10"/>
        <v>0.23214377201454217</v>
      </c>
      <c r="G150" s="21">
        <v>1.1493806198153924E-2</v>
      </c>
      <c r="H150" s="21">
        <f t="shared" si="11"/>
        <v>2.1129922262371864E-4</v>
      </c>
    </row>
    <row r="151" spans="1:8" outlineLevel="1" x14ac:dyDescent="0.2">
      <c r="A151" s="30">
        <v>102</v>
      </c>
      <c r="B151" s="29">
        <v>186</v>
      </c>
      <c r="C151" s="29">
        <v>177.5857717133083</v>
      </c>
      <c r="D151" s="29">
        <f t="shared" si="8"/>
        <v>8.4142282866916958</v>
      </c>
      <c r="E151" s="21">
        <f t="shared" si="9"/>
        <v>1.1247254496650023</v>
      </c>
      <c r="F151" s="21">
        <f t="shared" si="10"/>
        <v>1.1247254496650023</v>
      </c>
      <c r="G151" s="21">
        <v>2.764267007052789E-2</v>
      </c>
      <c r="H151" s="21">
        <f t="shared" si="11"/>
        <v>1.2328209194137756E-2</v>
      </c>
    </row>
    <row r="152" spans="1:8" outlineLevel="1" x14ac:dyDescent="0.2">
      <c r="A152" s="30">
        <v>103</v>
      </c>
      <c r="B152" s="29">
        <v>164</v>
      </c>
      <c r="C152" s="29">
        <v>164.43353573430022</v>
      </c>
      <c r="D152" s="29">
        <f t="shared" si="8"/>
        <v>-0.43353573430022152</v>
      </c>
      <c r="E152" s="21">
        <f t="shared" si="9"/>
        <v>-5.7950492557693786E-2</v>
      </c>
      <c r="F152" s="21">
        <f t="shared" si="10"/>
        <v>5.7950492557693786E-2</v>
      </c>
      <c r="G152" s="21">
        <v>5.8142284747258449E-3</v>
      </c>
      <c r="H152" s="21">
        <f t="shared" si="11"/>
        <v>6.5849126082141514E-6</v>
      </c>
    </row>
    <row r="153" spans="1:8" outlineLevel="1" x14ac:dyDescent="0.2">
      <c r="A153" s="30">
        <v>104</v>
      </c>
      <c r="B153" s="29">
        <v>168</v>
      </c>
      <c r="C153" s="29">
        <v>158.35687311678379</v>
      </c>
      <c r="D153" s="29">
        <f t="shared" si="8"/>
        <v>9.6431268832162118</v>
      </c>
      <c r="E153" s="21">
        <f t="shared" si="9"/>
        <v>1.288991675808977</v>
      </c>
      <c r="F153" s="21">
        <f t="shared" si="10"/>
        <v>1.288991675808977</v>
      </c>
      <c r="G153" s="21">
        <v>5.8232342161939048E-3</v>
      </c>
      <c r="H153" s="21">
        <f t="shared" si="11"/>
        <v>3.2629920096222073E-3</v>
      </c>
    </row>
    <row r="154" spans="1:8" outlineLevel="1" x14ac:dyDescent="0.2">
      <c r="A154" s="30">
        <v>105</v>
      </c>
      <c r="B154" s="29">
        <v>179</v>
      </c>
      <c r="C154" s="29">
        <v>176.73676615985357</v>
      </c>
      <c r="D154" s="29">
        <f t="shared" si="8"/>
        <v>2.2632338401464267</v>
      </c>
      <c r="E154" s="21">
        <f t="shared" si="9"/>
        <v>0.30252527169744586</v>
      </c>
      <c r="F154" s="21">
        <f t="shared" si="10"/>
        <v>0.30252527169744586</v>
      </c>
      <c r="G154" s="21">
        <v>1.4527702869960697E-2</v>
      </c>
      <c r="H154" s="21">
        <f t="shared" si="11"/>
        <v>4.5636273365787277E-4</v>
      </c>
    </row>
    <row r="155" spans="1:8" outlineLevel="1" x14ac:dyDescent="0.2">
      <c r="A155" s="30">
        <v>106</v>
      </c>
      <c r="B155" s="29">
        <v>186</v>
      </c>
      <c r="C155" s="29">
        <v>177.38624842581294</v>
      </c>
      <c r="D155" s="29">
        <f t="shared" si="8"/>
        <v>8.6137515741870629</v>
      </c>
      <c r="E155" s="21">
        <f t="shared" si="9"/>
        <v>1.1513956220920805</v>
      </c>
      <c r="F155" s="21">
        <f t="shared" si="10"/>
        <v>1.1513956220920805</v>
      </c>
      <c r="G155" s="21">
        <v>2.6963951462403844E-2</v>
      </c>
      <c r="H155" s="21">
        <f t="shared" si="11"/>
        <v>1.2585010129747857E-2</v>
      </c>
    </row>
    <row r="156" spans="1:8" outlineLevel="1" x14ac:dyDescent="0.2">
      <c r="A156" s="30">
        <v>107</v>
      </c>
      <c r="B156" s="29">
        <v>168</v>
      </c>
      <c r="C156" s="29">
        <v>162.85486871534908</v>
      </c>
      <c r="D156" s="29">
        <f t="shared" si="8"/>
        <v>5.1451312846509154</v>
      </c>
      <c r="E156" s="21">
        <f t="shared" si="9"/>
        <v>0.68774698053619698</v>
      </c>
      <c r="F156" s="21">
        <f t="shared" si="10"/>
        <v>0.68774698053619698</v>
      </c>
      <c r="G156" s="21">
        <v>1.1822683290263317E-2</v>
      </c>
      <c r="H156" s="21">
        <f t="shared" si="11"/>
        <v>1.9088966884902921E-3</v>
      </c>
    </row>
    <row r="157" spans="1:8" outlineLevel="1" x14ac:dyDescent="0.2">
      <c r="A157" s="30">
        <v>108</v>
      </c>
      <c r="B157" s="29">
        <v>170</v>
      </c>
      <c r="C157" s="29">
        <v>160.19216571124559</v>
      </c>
      <c r="D157" s="29">
        <f t="shared" si="8"/>
        <v>9.8078342887544068</v>
      </c>
      <c r="E157" s="21">
        <f t="shared" si="9"/>
        <v>1.3110080276888163</v>
      </c>
      <c r="F157" s="21">
        <f t="shared" si="10"/>
        <v>1.3110080276888163</v>
      </c>
      <c r="G157" s="21">
        <v>2.5888035064768583E-2</v>
      </c>
      <c r="H157" s="21">
        <f t="shared" si="11"/>
        <v>1.5630424749017432E-2</v>
      </c>
    </row>
    <row r="158" spans="1:8" outlineLevel="1" x14ac:dyDescent="0.2">
      <c r="A158" s="30">
        <v>109</v>
      </c>
      <c r="B158" s="29">
        <v>203</v>
      </c>
      <c r="C158" s="29">
        <v>185.71307178634652</v>
      </c>
      <c r="D158" s="29">
        <f t="shared" si="8"/>
        <v>17.286928213653482</v>
      </c>
      <c r="E158" s="21">
        <f t="shared" si="9"/>
        <v>2.3107345612645176</v>
      </c>
      <c r="F158" s="21">
        <f t="shared" si="10"/>
        <v>2.3107345612645176</v>
      </c>
      <c r="G158" s="21">
        <v>6.9489011533496792E-2</v>
      </c>
      <c r="H158" s="21">
        <f t="shared" si="11"/>
        <v>0.14284070570556565</v>
      </c>
    </row>
    <row r="159" spans="1:8" outlineLevel="1" x14ac:dyDescent="0.2">
      <c r="A159" s="30">
        <v>110</v>
      </c>
      <c r="B159" s="29">
        <v>170</v>
      </c>
      <c r="C159" s="29">
        <v>159.07979314306874</v>
      </c>
      <c r="D159" s="29">
        <f t="shared" si="8"/>
        <v>10.920206856931259</v>
      </c>
      <c r="E159" s="21">
        <f t="shared" si="9"/>
        <v>1.459698281186756</v>
      </c>
      <c r="F159" s="21">
        <f t="shared" si="10"/>
        <v>1.459698281186756</v>
      </c>
      <c r="G159" s="21">
        <v>1.4645307436988145E-2</v>
      </c>
      <c r="H159" s="21">
        <f t="shared" si="11"/>
        <v>1.0713176330271986E-2</v>
      </c>
    </row>
    <row r="160" spans="1:8" outlineLevel="1" x14ac:dyDescent="0.2">
      <c r="A160" s="30">
        <v>111</v>
      </c>
      <c r="B160" s="29">
        <v>164</v>
      </c>
      <c r="C160" s="29">
        <v>165.8614548855852</v>
      </c>
      <c r="D160" s="29">
        <f t="shared" si="8"/>
        <v>-1.8614548855852036</v>
      </c>
      <c r="E160" s="21">
        <f t="shared" si="9"/>
        <v>-0.24881969110967689</v>
      </c>
      <c r="F160" s="21">
        <f t="shared" si="10"/>
        <v>0.24881969110967689</v>
      </c>
      <c r="G160" s="21">
        <v>2.4350380314763213E-2</v>
      </c>
      <c r="H160" s="21">
        <f t="shared" si="11"/>
        <v>5.2791770565536946E-4</v>
      </c>
    </row>
    <row r="161" spans="1:8" outlineLevel="1" x14ac:dyDescent="0.2">
      <c r="A161" s="30">
        <v>112</v>
      </c>
      <c r="B161" s="29">
        <v>170</v>
      </c>
      <c r="C161" s="29">
        <v>162.48369427199992</v>
      </c>
      <c r="D161" s="29">
        <f t="shared" si="8"/>
        <v>7.5163057280000771</v>
      </c>
      <c r="E161" s="21">
        <f t="shared" si="9"/>
        <v>1.0047006156364191</v>
      </c>
      <c r="F161" s="21">
        <f t="shared" si="10"/>
        <v>1.0047006156364191</v>
      </c>
      <c r="G161" s="21">
        <v>1.0271811766418898E-2</v>
      </c>
      <c r="H161" s="21">
        <f t="shared" si="11"/>
        <v>3.5283142223072428E-3</v>
      </c>
    </row>
    <row r="162" spans="1:8" outlineLevel="1" x14ac:dyDescent="0.2">
      <c r="A162" s="30">
        <v>113</v>
      </c>
      <c r="B162" s="29">
        <v>150</v>
      </c>
      <c r="C162" s="29">
        <v>150.39658780477973</v>
      </c>
      <c r="D162" s="29">
        <f t="shared" si="8"/>
        <v>-0.39658780477972755</v>
      </c>
      <c r="E162" s="21">
        <f t="shared" si="9"/>
        <v>-5.3011682339072122E-2</v>
      </c>
      <c r="F162" s="21">
        <f t="shared" si="10"/>
        <v>5.3011682339072122E-2</v>
      </c>
      <c r="G162" s="21">
        <v>1.5289839993329056E-2</v>
      </c>
      <c r="H162" s="21">
        <f t="shared" si="11"/>
        <v>1.4770936185253557E-5</v>
      </c>
    </row>
    <row r="163" spans="1:8" outlineLevel="1" x14ac:dyDescent="0.2">
      <c r="A163" s="30">
        <v>114</v>
      </c>
      <c r="B163" s="29">
        <v>150</v>
      </c>
      <c r="C163" s="29">
        <v>155.53263171331878</v>
      </c>
      <c r="D163" s="29">
        <f t="shared" si="8"/>
        <v>-5.5326317133187786</v>
      </c>
      <c r="E163" s="21">
        <f t="shared" si="9"/>
        <v>-0.73954395811145168</v>
      </c>
      <c r="F163" s="21">
        <f t="shared" si="10"/>
        <v>0.73954395811145168</v>
      </c>
      <c r="G163" s="21">
        <v>9.7757718974687494E-3</v>
      </c>
      <c r="H163" s="21">
        <f t="shared" si="11"/>
        <v>1.8175681137696709E-3</v>
      </c>
    </row>
    <row r="164" spans="1:8" outlineLevel="1" x14ac:dyDescent="0.2">
      <c r="A164" s="30">
        <v>115</v>
      </c>
      <c r="B164" s="29">
        <v>145</v>
      </c>
      <c r="C164" s="29">
        <v>152.27261072001488</v>
      </c>
      <c r="D164" s="29">
        <f t="shared" si="8"/>
        <v>-7.2726107200148817</v>
      </c>
      <c r="E164" s="21">
        <f t="shared" si="9"/>
        <v>-0.97212603266833197</v>
      </c>
      <c r="F164" s="21">
        <f t="shared" si="10"/>
        <v>0.97212603266833197</v>
      </c>
      <c r="G164" s="21">
        <v>1.5214620681491663E-2</v>
      </c>
      <c r="H164" s="21">
        <f t="shared" si="11"/>
        <v>4.9419897107706419E-3</v>
      </c>
    </row>
    <row r="165" spans="1:8" outlineLevel="1" x14ac:dyDescent="0.2">
      <c r="A165" s="30">
        <v>116</v>
      </c>
      <c r="B165" s="29">
        <v>151</v>
      </c>
      <c r="C165" s="29">
        <v>152.84239846262091</v>
      </c>
      <c r="D165" s="29">
        <f t="shared" si="8"/>
        <v>-1.8423984626209062</v>
      </c>
      <c r="E165" s="21">
        <f t="shared" si="9"/>
        <v>-0.24627242911995581</v>
      </c>
      <c r="F165" s="21">
        <f t="shared" si="10"/>
        <v>0.24627242911995581</v>
      </c>
      <c r="G165" s="21">
        <v>1.3593072211362869E-2</v>
      </c>
      <c r="H165" s="21">
        <f t="shared" si="11"/>
        <v>2.8243318915060226E-4</v>
      </c>
    </row>
    <row r="166" spans="1:8" outlineLevel="1" x14ac:dyDescent="0.2">
      <c r="A166" s="30">
        <v>117</v>
      </c>
      <c r="B166" s="29">
        <v>152</v>
      </c>
      <c r="C166" s="29">
        <v>150.04368978462307</v>
      </c>
      <c r="D166" s="29">
        <f t="shared" si="8"/>
        <v>1.9563102153769307</v>
      </c>
      <c r="E166" s="21">
        <f t="shared" si="9"/>
        <v>0.26149895292883407</v>
      </c>
      <c r="F166" s="21">
        <f t="shared" si="10"/>
        <v>0.26149895292883407</v>
      </c>
      <c r="G166" s="21">
        <v>1.8793343335248271E-2</v>
      </c>
      <c r="H166" s="21">
        <f t="shared" si="11"/>
        <v>4.4494028635694391E-4</v>
      </c>
    </row>
    <row r="167" spans="1:8" outlineLevel="1" x14ac:dyDescent="0.2">
      <c r="A167" s="30">
        <v>118</v>
      </c>
      <c r="B167" s="29">
        <v>161</v>
      </c>
      <c r="C167" s="29">
        <v>170.79388572857624</v>
      </c>
      <c r="D167" s="29">
        <f t="shared" si="8"/>
        <v>-9.7938857285762424</v>
      </c>
      <c r="E167" s="21">
        <f t="shared" si="9"/>
        <v>-1.3091435310191244</v>
      </c>
      <c r="F167" s="21">
        <f t="shared" si="10"/>
        <v>1.3091435310191244</v>
      </c>
      <c r="G167" s="21">
        <v>2.4303008519804277E-2</v>
      </c>
      <c r="H167" s="21">
        <f t="shared" si="11"/>
        <v>1.4584225838531825E-2</v>
      </c>
    </row>
    <row r="168" spans="1:8" outlineLevel="1" x14ac:dyDescent="0.2">
      <c r="A168" s="30">
        <v>119</v>
      </c>
      <c r="B168" s="29">
        <v>171</v>
      </c>
      <c r="C168" s="29">
        <v>174.77866404251012</v>
      </c>
      <c r="D168" s="29">
        <f t="shared" si="8"/>
        <v>-3.7786640425101155</v>
      </c>
      <c r="E168" s="21">
        <f t="shared" si="9"/>
        <v>-0.50509202621315652</v>
      </c>
      <c r="F168" s="21">
        <f t="shared" si="10"/>
        <v>0.50509202621315652</v>
      </c>
      <c r="G168" s="21">
        <v>2.2175229820282555E-2</v>
      </c>
      <c r="H168" s="21">
        <f t="shared" si="11"/>
        <v>1.9722675555513425E-3</v>
      </c>
    </row>
    <row r="169" spans="1:8" outlineLevel="1" x14ac:dyDescent="0.2">
      <c r="A169" s="30">
        <v>120</v>
      </c>
      <c r="B169" s="29">
        <v>160</v>
      </c>
      <c r="C169" s="29">
        <v>160.12943082400943</v>
      </c>
      <c r="D169" s="29">
        <f t="shared" si="8"/>
        <v>-0.1294308240094324</v>
      </c>
      <c r="E169" s="21">
        <f t="shared" si="9"/>
        <v>-1.730094986426348E-2</v>
      </c>
      <c r="F169" s="21">
        <f t="shared" si="10"/>
        <v>1.730094986426348E-2</v>
      </c>
      <c r="G169" s="21">
        <v>1.5170801198763925E-2</v>
      </c>
      <c r="H169" s="21">
        <f t="shared" si="11"/>
        <v>1.5606493115978623E-6</v>
      </c>
    </row>
    <row r="170" spans="1:8" outlineLevel="1" x14ac:dyDescent="0.2">
      <c r="A170" s="30">
        <v>121</v>
      </c>
      <c r="B170" s="29">
        <v>173</v>
      </c>
      <c r="C170" s="29">
        <v>170.23177445647121</v>
      </c>
      <c r="D170" s="29">
        <f t="shared" si="8"/>
        <v>2.7682255435287857</v>
      </c>
      <c r="E170" s="21">
        <f t="shared" si="9"/>
        <v>0.37002724589062957</v>
      </c>
      <c r="F170" s="21">
        <f t="shared" si="10"/>
        <v>0.37002724589062957</v>
      </c>
      <c r="G170" s="21">
        <v>1.5287393994613457E-2</v>
      </c>
      <c r="H170" s="21">
        <f t="shared" si="11"/>
        <v>7.1954939947273082E-4</v>
      </c>
    </row>
    <row r="171" spans="1:8" outlineLevel="1" x14ac:dyDescent="0.2">
      <c r="A171" s="30">
        <v>122</v>
      </c>
      <c r="B171" s="29">
        <v>166</v>
      </c>
      <c r="C171" s="29">
        <v>172.41663805734322</v>
      </c>
      <c r="D171" s="29">
        <f t="shared" si="8"/>
        <v>-6.4166380573432207</v>
      </c>
      <c r="E171" s="21">
        <f t="shared" si="9"/>
        <v>-0.85770861907770768</v>
      </c>
      <c r="F171" s="21">
        <f t="shared" si="10"/>
        <v>0.85770861907770768</v>
      </c>
      <c r="G171" s="21">
        <v>1.5684897333279175E-2</v>
      </c>
      <c r="H171" s="21">
        <f t="shared" si="11"/>
        <v>3.9698278747418827E-3</v>
      </c>
    </row>
    <row r="172" spans="1:8" outlineLevel="1" x14ac:dyDescent="0.2">
      <c r="A172" s="30">
        <v>123</v>
      </c>
      <c r="B172" s="29">
        <v>179</v>
      </c>
      <c r="C172" s="29">
        <v>175.33499392463779</v>
      </c>
      <c r="D172" s="29">
        <f t="shared" si="8"/>
        <v>3.6650060753622142</v>
      </c>
      <c r="E172" s="21">
        <f t="shared" si="9"/>
        <v>0.48989942579243573</v>
      </c>
      <c r="F172" s="21">
        <f t="shared" si="10"/>
        <v>0.48989942579243573</v>
      </c>
      <c r="G172" s="21">
        <v>1.5148106640784666E-2</v>
      </c>
      <c r="H172" s="21">
        <f t="shared" si="11"/>
        <v>1.2494218930655355E-3</v>
      </c>
    </row>
    <row r="173" spans="1:8" outlineLevel="1" x14ac:dyDescent="0.2">
      <c r="A173" s="30">
        <v>124</v>
      </c>
      <c r="B173" s="29">
        <v>168</v>
      </c>
      <c r="C173" s="29">
        <v>163.3017281928353</v>
      </c>
      <c r="D173" s="29">
        <f t="shared" si="8"/>
        <v>4.6982718071647014</v>
      </c>
      <c r="E173" s="21">
        <f t="shared" si="9"/>
        <v>0.62801551026605062</v>
      </c>
      <c r="F173" s="21">
        <f t="shared" si="10"/>
        <v>0.62801551026605062</v>
      </c>
      <c r="G173" s="21">
        <v>1.6613585495976173E-2</v>
      </c>
      <c r="H173" s="21">
        <f t="shared" si="11"/>
        <v>2.2585746383387401E-3</v>
      </c>
    </row>
    <row r="174" spans="1:8" outlineLevel="1" x14ac:dyDescent="0.2">
      <c r="A174" s="30">
        <v>125</v>
      </c>
      <c r="B174" s="29">
        <v>158</v>
      </c>
      <c r="C174" s="29">
        <v>152.23503973301649</v>
      </c>
      <c r="D174" s="29">
        <f t="shared" si="8"/>
        <v>5.7649602669835076</v>
      </c>
      <c r="E174" s="21">
        <f t="shared" si="9"/>
        <v>0.77059919313566361</v>
      </c>
      <c r="F174" s="21">
        <f t="shared" si="10"/>
        <v>0.77059919313566361</v>
      </c>
      <c r="G174" s="21">
        <v>2.4496191699400368E-2</v>
      </c>
      <c r="H174" s="21">
        <f t="shared" si="11"/>
        <v>5.0953788351922038E-3</v>
      </c>
    </row>
    <row r="175" spans="1:8" outlineLevel="1" x14ac:dyDescent="0.2">
      <c r="A175" s="30">
        <v>126</v>
      </c>
      <c r="B175" s="29">
        <v>130</v>
      </c>
      <c r="C175" s="29">
        <v>140.66858402608429</v>
      </c>
      <c r="D175" s="29">
        <f t="shared" si="8"/>
        <v>-10.668584026084289</v>
      </c>
      <c r="E175" s="21">
        <f t="shared" si="9"/>
        <v>-1.4260639903251742</v>
      </c>
      <c r="F175" s="21">
        <f t="shared" si="10"/>
        <v>1.4260639903251742</v>
      </c>
      <c r="G175" s="21">
        <v>6.8166339504781043E-2</v>
      </c>
      <c r="H175" s="21">
        <f t="shared" si="11"/>
        <v>5.3216947137935539E-2</v>
      </c>
    </row>
    <row r="176" spans="1:8" outlineLevel="1" x14ac:dyDescent="0.2">
      <c r="A176" s="30">
        <v>127</v>
      </c>
      <c r="B176" s="29">
        <v>142</v>
      </c>
      <c r="C176" s="29">
        <v>152.74238016046189</v>
      </c>
      <c r="D176" s="29">
        <f t="shared" si="8"/>
        <v>-10.742380160461892</v>
      </c>
      <c r="E176" s="21">
        <f t="shared" si="9"/>
        <v>-1.4359282806193494</v>
      </c>
      <c r="F176" s="21">
        <f t="shared" si="10"/>
        <v>1.4359282806193494</v>
      </c>
      <c r="G176" s="21">
        <v>1.2165198977861669E-2</v>
      </c>
      <c r="H176" s="21">
        <f t="shared" si="11"/>
        <v>8.5683029975126817E-3</v>
      </c>
    </row>
    <row r="177" spans="1:8" outlineLevel="1" x14ac:dyDescent="0.2">
      <c r="A177" s="30">
        <v>128</v>
      </c>
      <c r="B177" s="29">
        <v>157</v>
      </c>
      <c r="C177" s="29">
        <v>171.71490648456069</v>
      </c>
      <c r="D177" s="29">
        <f t="shared" si="8"/>
        <v>-14.714906484560686</v>
      </c>
      <c r="E177" s="21">
        <f t="shared" si="9"/>
        <v>-1.9669337755908678</v>
      </c>
      <c r="F177" s="21">
        <f t="shared" si="10"/>
        <v>1.9669337755908678</v>
      </c>
      <c r="G177" s="21">
        <v>1.171050230539105E-2</v>
      </c>
      <c r="H177" s="21">
        <f t="shared" si="11"/>
        <v>1.5461989878091999E-2</v>
      </c>
    </row>
    <row r="178" spans="1:8" outlineLevel="1" x14ac:dyDescent="0.2">
      <c r="A178" s="30">
        <v>129</v>
      </c>
      <c r="B178" s="29">
        <v>157</v>
      </c>
      <c r="C178" s="29">
        <v>155.84611913351972</v>
      </c>
      <c r="D178" s="29">
        <f t="shared" ref="D178:D241" si="12">B178 - C178</f>
        <v>1.1538808664802787</v>
      </c>
      <c r="E178" s="21">
        <f t="shared" ref="E178:E241" si="13">D178 /7.48113976544041</f>
        <v>0.15423864580243549</v>
      </c>
      <c r="F178" s="21">
        <f t="shared" ref="F178:F241" si="14">ABS(E178)</f>
        <v>0.15423864580243549</v>
      </c>
      <c r="G178" s="21">
        <v>2.7167608033418698E-2</v>
      </c>
      <c r="H178" s="21">
        <f t="shared" si="11"/>
        <v>2.2763577150901202E-4</v>
      </c>
    </row>
    <row r="179" spans="1:8" outlineLevel="1" x14ac:dyDescent="0.2">
      <c r="A179" s="30">
        <v>130</v>
      </c>
      <c r="B179" s="29">
        <v>150</v>
      </c>
      <c r="C179" s="29">
        <v>153.49726317401348</v>
      </c>
      <c r="D179" s="29">
        <f t="shared" si="12"/>
        <v>-3.497263174013483</v>
      </c>
      <c r="E179" s="21">
        <f t="shared" si="13"/>
        <v>-0.46747732079131943</v>
      </c>
      <c r="F179" s="21">
        <f t="shared" si="14"/>
        <v>0.46747732079131943</v>
      </c>
      <c r="G179" s="21">
        <v>1.3345778433312376E-2</v>
      </c>
      <c r="H179" s="21">
        <f t="shared" ref="H179:H242" si="15">(F179^2/3)*(G179/(1-G179)^2)</f>
        <v>9.9865111567344709E-4</v>
      </c>
    </row>
    <row r="180" spans="1:8" outlineLevel="1" x14ac:dyDescent="0.2">
      <c r="A180" s="30">
        <v>131</v>
      </c>
      <c r="B180" s="29">
        <v>162</v>
      </c>
      <c r="C180" s="29">
        <v>163.4122523049368</v>
      </c>
      <c r="D180" s="29">
        <f t="shared" si="12"/>
        <v>-1.4122523049367999</v>
      </c>
      <c r="E180" s="21">
        <f t="shared" si="13"/>
        <v>-0.18877501947775219</v>
      </c>
      <c r="F180" s="21">
        <f t="shared" si="14"/>
        <v>0.18877501947775219</v>
      </c>
      <c r="G180" s="21">
        <v>9.0358628503262976E-3</v>
      </c>
      <c r="H180" s="21">
        <f t="shared" si="15"/>
        <v>1.0930034877298859E-4</v>
      </c>
    </row>
    <row r="181" spans="1:8" outlineLevel="1" x14ac:dyDescent="0.2">
      <c r="A181" s="30">
        <v>132</v>
      </c>
      <c r="B181" s="29">
        <v>155</v>
      </c>
      <c r="C181" s="29">
        <v>161.04202271949492</v>
      </c>
      <c r="D181" s="29">
        <f t="shared" si="12"/>
        <v>-6.0420227194949234</v>
      </c>
      <c r="E181" s="21">
        <f t="shared" si="13"/>
        <v>-0.80763398478483484</v>
      </c>
      <c r="F181" s="21">
        <f t="shared" si="14"/>
        <v>0.80763398478483484</v>
      </c>
      <c r="G181" s="21">
        <v>1.2292888701452939E-2</v>
      </c>
      <c r="H181" s="21">
        <f t="shared" si="15"/>
        <v>2.7397157391900505E-3</v>
      </c>
    </row>
    <row r="182" spans="1:8" outlineLevel="1" x14ac:dyDescent="0.2">
      <c r="A182" s="30">
        <v>133</v>
      </c>
      <c r="B182" s="29">
        <v>168</v>
      </c>
      <c r="C182" s="29">
        <v>175.06679138022412</v>
      </c>
      <c r="D182" s="29">
        <f t="shared" si="12"/>
        <v>-7.0667913802241173</v>
      </c>
      <c r="E182" s="21">
        <f t="shared" si="13"/>
        <v>-0.9446142702572673</v>
      </c>
      <c r="F182" s="21">
        <f t="shared" si="14"/>
        <v>0.9446142702572673</v>
      </c>
      <c r="G182" s="21">
        <v>2.2681241187529316E-2</v>
      </c>
      <c r="H182" s="21">
        <f t="shared" si="15"/>
        <v>7.0628843800513005E-3</v>
      </c>
    </row>
    <row r="183" spans="1:8" outlineLevel="1" x14ac:dyDescent="0.2">
      <c r="A183" s="30">
        <v>134</v>
      </c>
      <c r="B183" s="29">
        <v>160</v>
      </c>
      <c r="C183" s="29">
        <v>169.38580027334245</v>
      </c>
      <c r="D183" s="29">
        <f t="shared" si="12"/>
        <v>-9.3858002733424541</v>
      </c>
      <c r="E183" s="21">
        <f t="shared" si="13"/>
        <v>-1.2545949638183129</v>
      </c>
      <c r="F183" s="21">
        <f t="shared" si="14"/>
        <v>1.2545949638183129</v>
      </c>
      <c r="G183" s="21">
        <v>1.7541667956624124E-2</v>
      </c>
      <c r="H183" s="21">
        <f t="shared" si="15"/>
        <v>9.5351697883320156E-3</v>
      </c>
    </row>
    <row r="184" spans="1:8" outlineLevel="1" x14ac:dyDescent="0.2">
      <c r="A184" s="30">
        <v>135</v>
      </c>
      <c r="B184" s="29">
        <v>161</v>
      </c>
      <c r="C184" s="29">
        <v>159.08516811020633</v>
      </c>
      <c r="D184" s="29">
        <f t="shared" si="12"/>
        <v>1.9148318897936747</v>
      </c>
      <c r="E184" s="21">
        <f t="shared" si="13"/>
        <v>0.25595456706200831</v>
      </c>
      <c r="F184" s="21">
        <f t="shared" si="14"/>
        <v>0.25595456706200831</v>
      </c>
      <c r="G184" s="21">
        <v>1.5955590902333179E-2</v>
      </c>
      <c r="H184" s="21">
        <f t="shared" si="15"/>
        <v>3.5982224408840317E-4</v>
      </c>
    </row>
    <row r="185" spans="1:8" outlineLevel="1" x14ac:dyDescent="0.2">
      <c r="A185" s="30">
        <v>136</v>
      </c>
      <c r="B185" s="29">
        <v>170</v>
      </c>
      <c r="C185" s="29">
        <v>164.72317774179535</v>
      </c>
      <c r="D185" s="29">
        <f t="shared" si="12"/>
        <v>5.2768222582046462</v>
      </c>
      <c r="E185" s="21">
        <f t="shared" si="13"/>
        <v>0.70535004339596141</v>
      </c>
      <c r="F185" s="21">
        <f t="shared" si="14"/>
        <v>0.70535004339596141</v>
      </c>
      <c r="G185" s="21">
        <v>1.0595895337864411E-2</v>
      </c>
      <c r="H185" s="21">
        <f t="shared" si="15"/>
        <v>1.7950575817998204E-3</v>
      </c>
    </row>
    <row r="186" spans="1:8" outlineLevel="1" x14ac:dyDescent="0.2">
      <c r="A186" s="30">
        <v>137</v>
      </c>
      <c r="B186" s="29">
        <v>147</v>
      </c>
      <c r="C186" s="29">
        <v>155.4307004355737</v>
      </c>
      <c r="D186" s="29">
        <f t="shared" si="12"/>
        <v>-8.4307004355736979</v>
      </c>
      <c r="E186" s="21">
        <f t="shared" si="13"/>
        <v>-1.1269272731034703</v>
      </c>
      <c r="F186" s="21">
        <f t="shared" si="14"/>
        <v>1.1269272731034703</v>
      </c>
      <c r="G186" s="21">
        <v>3.836449469212503E-2</v>
      </c>
      <c r="H186" s="21">
        <f t="shared" si="15"/>
        <v>1.756220437825504E-2</v>
      </c>
    </row>
    <row r="187" spans="1:8" outlineLevel="1" x14ac:dyDescent="0.2">
      <c r="A187" s="30">
        <v>138</v>
      </c>
      <c r="B187" s="29">
        <v>168</v>
      </c>
      <c r="C187" s="29">
        <v>168.43007255102117</v>
      </c>
      <c r="D187" s="29">
        <f t="shared" si="12"/>
        <v>-0.43007255102116915</v>
      </c>
      <c r="E187" s="21">
        <f t="shared" si="13"/>
        <v>-5.7487570678456779E-2</v>
      </c>
      <c r="F187" s="21">
        <f t="shared" si="14"/>
        <v>5.7487570678456779E-2</v>
      </c>
      <c r="G187" s="21">
        <v>1.0388443876635085E-2</v>
      </c>
      <c r="H187" s="21">
        <f t="shared" si="15"/>
        <v>1.1685509155122851E-5</v>
      </c>
    </row>
    <row r="188" spans="1:8" outlineLevel="1" x14ac:dyDescent="0.2">
      <c r="A188" s="30">
        <v>139</v>
      </c>
      <c r="B188" s="29">
        <v>165</v>
      </c>
      <c r="C188" s="29">
        <v>149.09579584319471</v>
      </c>
      <c r="D188" s="29">
        <f t="shared" si="12"/>
        <v>15.904204156805292</v>
      </c>
      <c r="E188" s="21">
        <f t="shared" si="13"/>
        <v>2.1259065671083639</v>
      </c>
      <c r="F188" s="21">
        <f t="shared" si="14"/>
        <v>2.1259065671083639</v>
      </c>
      <c r="G188" s="21">
        <v>1.4161723738048613E-2</v>
      </c>
      <c r="H188" s="21">
        <f t="shared" si="15"/>
        <v>2.1951886984606067E-2</v>
      </c>
    </row>
    <row r="189" spans="1:8" outlineLevel="1" x14ac:dyDescent="0.2">
      <c r="A189" s="30">
        <v>140</v>
      </c>
      <c r="B189" s="29">
        <v>168</v>
      </c>
      <c r="C189" s="29">
        <v>160.12621913573292</v>
      </c>
      <c r="D189" s="29">
        <f t="shared" si="12"/>
        <v>7.8737808642670757</v>
      </c>
      <c r="E189" s="21">
        <f t="shared" si="13"/>
        <v>1.0524841282394557</v>
      </c>
      <c r="F189" s="21">
        <f t="shared" si="14"/>
        <v>1.0524841282394557</v>
      </c>
      <c r="G189" s="21">
        <v>2.0725413811709909E-2</v>
      </c>
      <c r="H189" s="21">
        <f t="shared" si="15"/>
        <v>7.9800221801764552E-3</v>
      </c>
    </row>
    <row r="190" spans="1:8" outlineLevel="1" x14ac:dyDescent="0.2">
      <c r="A190" s="30">
        <v>141</v>
      </c>
      <c r="B190" s="29">
        <v>157</v>
      </c>
      <c r="C190" s="29">
        <v>160.61539102812134</v>
      </c>
      <c r="D190" s="29">
        <f t="shared" si="12"/>
        <v>-3.6153910281213371</v>
      </c>
      <c r="E190" s="21">
        <f t="shared" si="13"/>
        <v>-0.4832674086404401</v>
      </c>
      <c r="F190" s="21">
        <f t="shared" si="14"/>
        <v>0.4832674086404401</v>
      </c>
      <c r="G190" s="21">
        <v>5.9184571989179674E-3</v>
      </c>
      <c r="H190" s="21">
        <f t="shared" si="15"/>
        <v>4.6624936237816953E-4</v>
      </c>
    </row>
    <row r="191" spans="1:8" outlineLevel="1" x14ac:dyDescent="0.2">
      <c r="A191" s="30">
        <v>142</v>
      </c>
      <c r="B191" s="29">
        <v>142</v>
      </c>
      <c r="C191" s="29">
        <v>153.04092869501233</v>
      </c>
      <c r="D191" s="29">
        <f t="shared" si="12"/>
        <v>-11.040928695012326</v>
      </c>
      <c r="E191" s="21">
        <f t="shared" si="13"/>
        <v>-1.4758351055031189</v>
      </c>
      <c r="F191" s="21">
        <f t="shared" si="14"/>
        <v>1.4758351055031189</v>
      </c>
      <c r="G191" s="21">
        <v>1.0509340201776265E-2</v>
      </c>
      <c r="H191" s="21">
        <f t="shared" si="15"/>
        <v>7.7930322120106114E-3</v>
      </c>
    </row>
    <row r="192" spans="1:8" outlineLevel="1" x14ac:dyDescent="0.2">
      <c r="A192" s="30">
        <v>143</v>
      </c>
      <c r="B192" s="29">
        <v>157</v>
      </c>
      <c r="C192" s="29">
        <v>162.45339355444369</v>
      </c>
      <c r="D192" s="29">
        <f t="shared" si="12"/>
        <v>-5.4533935544436929</v>
      </c>
      <c r="E192" s="21">
        <f t="shared" si="13"/>
        <v>-0.72895223527783604</v>
      </c>
      <c r="F192" s="21">
        <f t="shared" si="14"/>
        <v>0.72895223527783604</v>
      </c>
      <c r="G192" s="21">
        <v>4.9051458284120322E-3</v>
      </c>
      <c r="H192" s="21">
        <f t="shared" si="15"/>
        <v>8.7740448861575932E-4</v>
      </c>
    </row>
    <row r="193" spans="1:8" outlineLevel="1" x14ac:dyDescent="0.2">
      <c r="A193" s="30">
        <v>144</v>
      </c>
      <c r="B193" s="29">
        <v>170</v>
      </c>
      <c r="C193" s="29">
        <v>170.72356180766411</v>
      </c>
      <c r="D193" s="29">
        <f t="shared" si="12"/>
        <v>-0.72356180766411171</v>
      </c>
      <c r="E193" s="21">
        <f t="shared" si="13"/>
        <v>-9.6718124557256688E-2</v>
      </c>
      <c r="F193" s="21">
        <f t="shared" si="14"/>
        <v>9.6718124557256688E-2</v>
      </c>
      <c r="G193" s="21">
        <v>9.3790600364266272E-3</v>
      </c>
      <c r="H193" s="21">
        <f t="shared" si="15"/>
        <v>2.9801545457272735E-5</v>
      </c>
    </row>
    <row r="194" spans="1:8" outlineLevel="1" x14ac:dyDescent="0.2">
      <c r="A194" s="30">
        <v>145</v>
      </c>
      <c r="B194" s="29">
        <v>163</v>
      </c>
      <c r="C194" s="29">
        <v>164.66111110011946</v>
      </c>
      <c r="D194" s="29">
        <f t="shared" si="12"/>
        <v>-1.6611111001194558</v>
      </c>
      <c r="E194" s="21">
        <f t="shared" si="13"/>
        <v>-0.22203984315238456</v>
      </c>
      <c r="F194" s="21">
        <f t="shared" si="14"/>
        <v>0.22203984315238456</v>
      </c>
      <c r="G194" s="21">
        <v>1.3618571892693741E-2</v>
      </c>
      <c r="H194" s="21">
        <f t="shared" si="15"/>
        <v>2.3002887931053407E-4</v>
      </c>
    </row>
    <row r="195" spans="1:8" outlineLevel="1" x14ac:dyDescent="0.2">
      <c r="A195" s="30">
        <v>146</v>
      </c>
      <c r="B195" s="29">
        <v>146</v>
      </c>
      <c r="C195" s="29">
        <v>148.87690730026486</v>
      </c>
      <c r="D195" s="29">
        <f t="shared" si="12"/>
        <v>-2.8769073002648611</v>
      </c>
      <c r="E195" s="21">
        <f t="shared" si="13"/>
        <v>-0.38455467889464023</v>
      </c>
      <c r="F195" s="21">
        <f t="shared" si="14"/>
        <v>0.38455467889464023</v>
      </c>
      <c r="G195" s="21">
        <v>2.4640920447878856E-2</v>
      </c>
      <c r="H195" s="21">
        <f t="shared" si="15"/>
        <v>1.2767998095503093E-3</v>
      </c>
    </row>
    <row r="196" spans="1:8" outlineLevel="1" x14ac:dyDescent="0.2">
      <c r="A196" s="30">
        <v>147</v>
      </c>
      <c r="B196" s="29">
        <v>155</v>
      </c>
      <c r="C196" s="29">
        <v>160.57069311490531</v>
      </c>
      <c r="D196" s="29">
        <f t="shared" si="12"/>
        <v>-5.5706931149053105</v>
      </c>
      <c r="E196" s="21">
        <f t="shared" si="13"/>
        <v>-0.74463160555286956</v>
      </c>
      <c r="F196" s="21">
        <f t="shared" si="14"/>
        <v>0.74463160555286956</v>
      </c>
      <c r="G196" s="21">
        <v>1.2507239610338932E-2</v>
      </c>
      <c r="H196" s="21">
        <f t="shared" si="15"/>
        <v>2.3705837660278873E-3</v>
      </c>
    </row>
    <row r="197" spans="1:8" outlineLevel="1" x14ac:dyDescent="0.2">
      <c r="A197" s="30">
        <v>148</v>
      </c>
      <c r="B197" s="29">
        <v>169</v>
      </c>
      <c r="C197" s="29">
        <v>154.23290164379353</v>
      </c>
      <c r="D197" s="29">
        <f t="shared" si="12"/>
        <v>14.767098356206475</v>
      </c>
      <c r="E197" s="21">
        <f t="shared" si="13"/>
        <v>1.9739102354996765</v>
      </c>
      <c r="F197" s="21">
        <f t="shared" si="14"/>
        <v>1.9739102354996765</v>
      </c>
      <c r="G197" s="21">
        <v>1.0692039527232855E-2</v>
      </c>
      <c r="H197" s="21">
        <f t="shared" si="15"/>
        <v>1.4188323815889447E-2</v>
      </c>
    </row>
    <row r="198" spans="1:8" outlineLevel="1" x14ac:dyDescent="0.2">
      <c r="A198" s="30">
        <v>149</v>
      </c>
      <c r="B198" s="29">
        <v>137</v>
      </c>
      <c r="C198" s="29">
        <v>139.13871881032793</v>
      </c>
      <c r="D198" s="29">
        <f t="shared" si="12"/>
        <v>-2.13871881032793</v>
      </c>
      <c r="E198" s="21">
        <f t="shared" si="13"/>
        <v>-0.28588141344556539</v>
      </c>
      <c r="F198" s="21">
        <f t="shared" si="14"/>
        <v>0.28588141344556539</v>
      </c>
      <c r="G198" s="21">
        <v>4.9140778175149752E-2</v>
      </c>
      <c r="H198" s="21">
        <f t="shared" si="15"/>
        <v>1.4806764549761459E-3</v>
      </c>
    </row>
    <row r="199" spans="1:8" outlineLevel="1" x14ac:dyDescent="0.2">
      <c r="A199" s="30">
        <v>150</v>
      </c>
      <c r="B199" s="29">
        <v>136</v>
      </c>
      <c r="C199" s="29">
        <v>147.02011278138272</v>
      </c>
      <c r="D199" s="29">
        <f t="shared" si="12"/>
        <v>-11.020112781382721</v>
      </c>
      <c r="E199" s="21">
        <f t="shared" si="13"/>
        <v>-1.4730526533257429</v>
      </c>
      <c r="F199" s="21">
        <f t="shared" si="14"/>
        <v>1.4730526533257429</v>
      </c>
      <c r="G199" s="21">
        <v>2.0281686729540803E-2</v>
      </c>
      <c r="H199" s="21">
        <f t="shared" si="15"/>
        <v>1.5283291789273212E-2</v>
      </c>
    </row>
    <row r="200" spans="1:8" outlineLevel="1" x14ac:dyDescent="0.2">
      <c r="A200" s="30">
        <v>151</v>
      </c>
      <c r="B200" s="29">
        <v>150</v>
      </c>
      <c r="C200" s="29">
        <v>164.42427694788947</v>
      </c>
      <c r="D200" s="29">
        <f t="shared" si="12"/>
        <v>-14.424276947889467</v>
      </c>
      <c r="E200" s="21">
        <f t="shared" si="13"/>
        <v>-1.928085478969837</v>
      </c>
      <c r="F200" s="21">
        <f t="shared" si="14"/>
        <v>1.928085478969837</v>
      </c>
      <c r="G200" s="21">
        <v>2.6213907117742723E-2</v>
      </c>
      <c r="H200" s="21">
        <f t="shared" si="15"/>
        <v>3.425594348560377E-2</v>
      </c>
    </row>
    <row r="201" spans="1:8" outlineLevel="1" x14ac:dyDescent="0.2">
      <c r="A201" s="30">
        <v>152</v>
      </c>
      <c r="B201" s="29">
        <v>143</v>
      </c>
      <c r="C201" s="29">
        <v>151.42601281664116</v>
      </c>
      <c r="D201" s="29">
        <f t="shared" si="12"/>
        <v>-8.4260128166411619</v>
      </c>
      <c r="E201" s="21">
        <f t="shared" si="13"/>
        <v>-1.1263006815573278</v>
      </c>
      <c r="F201" s="21">
        <f t="shared" si="14"/>
        <v>1.1263006815573278</v>
      </c>
      <c r="G201" s="21">
        <v>1.9523980209572925E-2</v>
      </c>
      <c r="H201" s="21">
        <f t="shared" si="15"/>
        <v>8.5877984903702034E-3</v>
      </c>
    </row>
    <row r="202" spans="1:8" outlineLevel="1" x14ac:dyDescent="0.2">
      <c r="A202" s="30">
        <v>153</v>
      </c>
      <c r="B202" s="29">
        <v>163</v>
      </c>
      <c r="C202" s="29">
        <v>166.73883503340159</v>
      </c>
      <c r="D202" s="29">
        <f t="shared" si="12"/>
        <v>-3.7388350334015854</v>
      </c>
      <c r="E202" s="21">
        <f t="shared" si="13"/>
        <v>-0.49976810360813817</v>
      </c>
      <c r="F202" s="21">
        <f t="shared" si="14"/>
        <v>0.49976810360813817</v>
      </c>
      <c r="G202" s="21">
        <v>2.0973400550985011E-2</v>
      </c>
      <c r="H202" s="21">
        <f t="shared" si="15"/>
        <v>1.8217789659382094E-3</v>
      </c>
    </row>
    <row r="203" spans="1:8" outlineLevel="1" x14ac:dyDescent="0.2">
      <c r="A203" s="30">
        <v>154</v>
      </c>
      <c r="B203" s="29">
        <v>155</v>
      </c>
      <c r="C203" s="29">
        <v>154.07345009478672</v>
      </c>
      <c r="D203" s="29">
        <f t="shared" si="12"/>
        <v>0.92654990521327818</v>
      </c>
      <c r="E203" s="21">
        <f t="shared" si="13"/>
        <v>0.12385143631369287</v>
      </c>
      <c r="F203" s="21">
        <f t="shared" si="14"/>
        <v>0.12385143631369287</v>
      </c>
      <c r="G203" s="21">
        <v>7.7925086201037028E-3</v>
      </c>
      <c r="H203" s="21">
        <f t="shared" si="15"/>
        <v>4.0471856652932272E-5</v>
      </c>
    </row>
    <row r="204" spans="1:8" outlineLevel="1" x14ac:dyDescent="0.2">
      <c r="A204" s="30">
        <v>155</v>
      </c>
      <c r="B204" s="29">
        <v>164</v>
      </c>
      <c r="C204" s="29">
        <v>158.80459431011801</v>
      </c>
      <c r="D204" s="29">
        <f t="shared" si="12"/>
        <v>5.1954056898819942</v>
      </c>
      <c r="E204" s="21">
        <f t="shared" si="13"/>
        <v>0.69446713372238988</v>
      </c>
      <c r="F204" s="21">
        <f t="shared" si="14"/>
        <v>0.69446713372238988</v>
      </c>
      <c r="G204" s="21">
        <v>1.033477428742835E-2</v>
      </c>
      <c r="H204" s="21">
        <f t="shared" si="15"/>
        <v>1.6963150474845971E-3</v>
      </c>
    </row>
    <row r="205" spans="1:8" outlineLevel="1" x14ac:dyDescent="0.2">
      <c r="A205" s="30">
        <v>156</v>
      </c>
      <c r="B205" s="29">
        <v>156</v>
      </c>
      <c r="C205" s="29">
        <v>160.41452368306139</v>
      </c>
      <c r="D205" s="29">
        <f t="shared" si="12"/>
        <v>-4.4145236830613896</v>
      </c>
      <c r="E205" s="21">
        <f t="shared" si="13"/>
        <v>-0.59008704842737414</v>
      </c>
      <c r="F205" s="21">
        <f t="shared" si="14"/>
        <v>0.59008704842737414</v>
      </c>
      <c r="G205" s="21">
        <v>6.6055064580492883E-3</v>
      </c>
      <c r="H205" s="21">
        <f t="shared" si="15"/>
        <v>7.7691505148635184E-4</v>
      </c>
    </row>
    <row r="206" spans="1:8" outlineLevel="1" x14ac:dyDescent="0.2">
      <c r="A206" s="30">
        <v>157</v>
      </c>
      <c r="B206" s="29">
        <v>152</v>
      </c>
      <c r="C206" s="29">
        <v>157.40880511976707</v>
      </c>
      <c r="D206" s="29">
        <f t="shared" si="12"/>
        <v>-5.4088051197670666</v>
      </c>
      <c r="E206" s="21">
        <f t="shared" si="13"/>
        <v>-0.72299212277163671</v>
      </c>
      <c r="F206" s="21">
        <f t="shared" si="14"/>
        <v>0.72299212277163671</v>
      </c>
      <c r="G206" s="21">
        <v>1.2303808461737715E-2</v>
      </c>
      <c r="H206" s="21">
        <f t="shared" si="15"/>
        <v>2.1975495673913353E-3</v>
      </c>
    </row>
    <row r="207" spans="1:8" outlineLevel="1" x14ac:dyDescent="0.2">
      <c r="A207" s="30">
        <v>158</v>
      </c>
      <c r="B207" s="29">
        <v>162</v>
      </c>
      <c r="C207" s="29">
        <v>169.04425929614195</v>
      </c>
      <c r="D207" s="29">
        <f t="shared" si="12"/>
        <v>-7.044259296141945</v>
      </c>
      <c r="E207" s="21">
        <f t="shared" si="13"/>
        <v>-0.94160241848218618</v>
      </c>
      <c r="F207" s="21">
        <f t="shared" si="14"/>
        <v>0.94160241848218618</v>
      </c>
      <c r="G207" s="21">
        <v>2.725689934497455E-2</v>
      </c>
      <c r="H207" s="21">
        <f t="shared" si="15"/>
        <v>8.513222965809402E-3</v>
      </c>
    </row>
    <row r="208" spans="1:8" outlineLevel="1" x14ac:dyDescent="0.2">
      <c r="A208" s="30">
        <v>159</v>
      </c>
      <c r="B208" s="29">
        <v>155</v>
      </c>
      <c r="C208" s="29">
        <v>150.42703082894937</v>
      </c>
      <c r="D208" s="29">
        <f t="shared" si="12"/>
        <v>4.5729691710506302</v>
      </c>
      <c r="E208" s="21">
        <f t="shared" si="13"/>
        <v>0.61126637309674992</v>
      </c>
      <c r="F208" s="21">
        <f t="shared" si="14"/>
        <v>0.61126637309674992</v>
      </c>
      <c r="G208" s="21">
        <v>2.7230294819733894E-2</v>
      </c>
      <c r="H208" s="21">
        <f t="shared" si="15"/>
        <v>3.5840332078298036E-3</v>
      </c>
    </row>
    <row r="209" spans="1:8" outlineLevel="1" x14ac:dyDescent="0.2">
      <c r="A209" s="30">
        <v>160</v>
      </c>
      <c r="B209" s="29">
        <v>157</v>
      </c>
      <c r="C209" s="29">
        <v>157.20313858573104</v>
      </c>
      <c r="D209" s="29">
        <f t="shared" si="12"/>
        <v>-0.20313858573103971</v>
      </c>
      <c r="E209" s="21">
        <f t="shared" si="13"/>
        <v>-2.7153427432201043E-2</v>
      </c>
      <c r="F209" s="21">
        <f t="shared" si="14"/>
        <v>2.7153427432201043E-2</v>
      </c>
      <c r="G209" s="21">
        <v>1.6675723708548612E-2</v>
      </c>
      <c r="H209" s="21">
        <f t="shared" si="15"/>
        <v>4.2385686930511449E-6</v>
      </c>
    </row>
    <row r="210" spans="1:8" outlineLevel="1" x14ac:dyDescent="0.2">
      <c r="A210" s="30">
        <v>161</v>
      </c>
      <c r="B210" s="29">
        <v>167</v>
      </c>
      <c r="C210" s="29">
        <v>174.25874814352582</v>
      </c>
      <c r="D210" s="29">
        <f t="shared" si="12"/>
        <v>-7.2587481435258212</v>
      </c>
      <c r="E210" s="21">
        <f t="shared" si="13"/>
        <v>-0.97027302939293536</v>
      </c>
      <c r="F210" s="21">
        <f t="shared" si="14"/>
        <v>0.97027302939293536</v>
      </c>
      <c r="G210" s="21">
        <v>2.4008371578842336E-2</v>
      </c>
      <c r="H210" s="21">
        <f t="shared" si="15"/>
        <v>7.9092842404254078E-3</v>
      </c>
    </row>
    <row r="211" spans="1:8" outlineLevel="1" x14ac:dyDescent="0.2">
      <c r="A211" s="30">
        <v>162</v>
      </c>
      <c r="B211" s="29">
        <v>160</v>
      </c>
      <c r="C211" s="29">
        <v>150.72523169588493</v>
      </c>
      <c r="D211" s="29">
        <f t="shared" si="12"/>
        <v>9.2747683041150708</v>
      </c>
      <c r="E211" s="21">
        <f t="shared" si="13"/>
        <v>1.2397533791522568</v>
      </c>
      <c r="F211" s="21">
        <f t="shared" si="14"/>
        <v>1.2397533791522568</v>
      </c>
      <c r="G211" s="21">
        <v>1.7200901532423537E-2</v>
      </c>
      <c r="H211" s="21">
        <f t="shared" si="15"/>
        <v>9.123701279967306E-3</v>
      </c>
    </row>
    <row r="212" spans="1:8" outlineLevel="1" x14ac:dyDescent="0.2">
      <c r="A212" s="30">
        <v>163</v>
      </c>
      <c r="B212" s="29">
        <v>162</v>
      </c>
      <c r="C212" s="29">
        <v>158.63262679206247</v>
      </c>
      <c r="D212" s="29">
        <f t="shared" si="12"/>
        <v>3.3673732079375327</v>
      </c>
      <c r="E212" s="21">
        <f t="shared" si="13"/>
        <v>0.45011499764959911</v>
      </c>
      <c r="F212" s="21">
        <f t="shared" si="14"/>
        <v>0.45011499764959911</v>
      </c>
      <c r="G212" s="21">
        <v>1.2490080105163271E-2</v>
      </c>
      <c r="H212" s="21">
        <f t="shared" si="15"/>
        <v>8.6498385714508174E-4</v>
      </c>
    </row>
    <row r="213" spans="1:8" outlineLevel="1" x14ac:dyDescent="0.2">
      <c r="A213" s="30">
        <v>164</v>
      </c>
      <c r="B213" s="29">
        <v>161</v>
      </c>
      <c r="C213" s="29">
        <v>154.39569502950559</v>
      </c>
      <c r="D213" s="29">
        <f t="shared" si="12"/>
        <v>6.604304970494411</v>
      </c>
      <c r="E213" s="21">
        <f t="shared" si="13"/>
        <v>0.88279395621017642</v>
      </c>
      <c r="F213" s="21">
        <f t="shared" si="14"/>
        <v>0.88279395621017642</v>
      </c>
      <c r="G213" s="21">
        <v>7.8681642349603467E-3</v>
      </c>
      <c r="H213" s="21">
        <f t="shared" si="15"/>
        <v>2.076500753595111E-3</v>
      </c>
    </row>
    <row r="214" spans="1:8" outlineLevel="1" x14ac:dyDescent="0.2">
      <c r="A214" s="30">
        <v>165</v>
      </c>
      <c r="B214" s="29">
        <v>166</v>
      </c>
      <c r="C214" s="29">
        <v>157.9361730438585</v>
      </c>
      <c r="D214" s="29">
        <f t="shared" si="12"/>
        <v>8.0638269561414972</v>
      </c>
      <c r="E214" s="21">
        <f t="shared" si="13"/>
        <v>1.0778874889348875</v>
      </c>
      <c r="F214" s="21">
        <f t="shared" si="14"/>
        <v>1.0778874889348875</v>
      </c>
      <c r="G214" s="21">
        <v>1.189391266055748E-2</v>
      </c>
      <c r="H214" s="21">
        <f t="shared" si="15"/>
        <v>4.7178399419684968E-3</v>
      </c>
    </row>
    <row r="215" spans="1:8" outlineLevel="1" x14ac:dyDescent="0.2">
      <c r="A215" s="30">
        <v>166</v>
      </c>
      <c r="B215" s="29">
        <v>166</v>
      </c>
      <c r="C215" s="29">
        <v>154.75098421728899</v>
      </c>
      <c r="D215" s="29">
        <f t="shared" si="12"/>
        <v>11.249015782711012</v>
      </c>
      <c r="E215" s="21">
        <f t="shared" si="13"/>
        <v>1.5036499965789356</v>
      </c>
      <c r="F215" s="21">
        <f t="shared" si="14"/>
        <v>1.5036499965789356</v>
      </c>
      <c r="G215" s="21">
        <v>8.1753215762487598E-3</v>
      </c>
      <c r="H215" s="21">
        <f t="shared" si="15"/>
        <v>6.263358709225628E-3</v>
      </c>
    </row>
    <row r="216" spans="1:8" outlineLevel="1" x14ac:dyDescent="0.2">
      <c r="A216" s="30">
        <v>167</v>
      </c>
      <c r="B216" s="29">
        <v>166</v>
      </c>
      <c r="C216" s="29">
        <v>173.67868177343894</v>
      </c>
      <c r="D216" s="29">
        <f t="shared" si="12"/>
        <v>-7.6786817734389388</v>
      </c>
      <c r="E216" s="21">
        <f t="shared" si="13"/>
        <v>-1.0264053358434881</v>
      </c>
      <c r="F216" s="21">
        <f t="shared" si="14"/>
        <v>1.0264053358434881</v>
      </c>
      <c r="G216" s="21">
        <v>9.7007847102852027E-3</v>
      </c>
      <c r="H216" s="21">
        <f t="shared" si="15"/>
        <v>3.4736858855115515E-3</v>
      </c>
    </row>
    <row r="217" spans="1:8" outlineLevel="1" x14ac:dyDescent="0.2">
      <c r="A217" s="30">
        <v>168</v>
      </c>
      <c r="B217" s="29">
        <v>156</v>
      </c>
      <c r="C217" s="29">
        <v>155.36521645677124</v>
      </c>
      <c r="D217" s="29">
        <f t="shared" si="12"/>
        <v>0.63478354322876385</v>
      </c>
      <c r="E217" s="21">
        <f t="shared" si="13"/>
        <v>8.4851180853642891E-2</v>
      </c>
      <c r="F217" s="21">
        <f t="shared" si="14"/>
        <v>8.4851180853642891E-2</v>
      </c>
      <c r="G217" s="21">
        <v>1.0199331502882459E-2</v>
      </c>
      <c r="H217" s="21">
        <f t="shared" si="15"/>
        <v>2.4984504952040749E-5</v>
      </c>
    </row>
    <row r="218" spans="1:8" outlineLevel="1" x14ac:dyDescent="0.2">
      <c r="A218" s="30">
        <v>169</v>
      </c>
      <c r="B218" s="29">
        <v>158</v>
      </c>
      <c r="C218" s="29">
        <v>154.88041491600978</v>
      </c>
      <c r="D218" s="29">
        <f t="shared" si="12"/>
        <v>3.1195850839902164</v>
      </c>
      <c r="E218" s="21">
        <f t="shared" si="13"/>
        <v>0.41699329003333602</v>
      </c>
      <c r="F218" s="21">
        <f t="shared" si="14"/>
        <v>0.41699329003333602</v>
      </c>
      <c r="G218" s="21">
        <v>3.0438906410519669E-2</v>
      </c>
      <c r="H218" s="21">
        <f t="shared" si="15"/>
        <v>1.8767894963629601E-3</v>
      </c>
    </row>
    <row r="219" spans="1:8" outlineLevel="1" x14ac:dyDescent="0.2">
      <c r="A219" s="30">
        <v>170</v>
      </c>
      <c r="B219" s="29">
        <v>168</v>
      </c>
      <c r="C219" s="29">
        <v>169.2526608050895</v>
      </c>
      <c r="D219" s="29">
        <f t="shared" si="12"/>
        <v>-1.2526608050895049</v>
      </c>
      <c r="E219" s="21">
        <f t="shared" si="13"/>
        <v>-0.16744250800877286</v>
      </c>
      <c r="F219" s="21">
        <f t="shared" si="14"/>
        <v>0.16744250800877286</v>
      </c>
      <c r="G219" s="21">
        <v>7.8803962954733207E-3</v>
      </c>
      <c r="H219" s="21">
        <f t="shared" si="15"/>
        <v>7.4822149753372622E-5</v>
      </c>
    </row>
    <row r="220" spans="1:8" outlineLevel="1" x14ac:dyDescent="0.2">
      <c r="A220" s="30">
        <v>171</v>
      </c>
      <c r="B220" s="29">
        <v>159</v>
      </c>
      <c r="C220" s="29">
        <v>163.76137020331859</v>
      </c>
      <c r="D220" s="29">
        <f t="shared" si="12"/>
        <v>-4.7613702033185916</v>
      </c>
      <c r="E220" s="21">
        <f t="shared" si="13"/>
        <v>-0.6364498395437066</v>
      </c>
      <c r="F220" s="21">
        <f t="shared" si="14"/>
        <v>0.6364498395437066</v>
      </c>
      <c r="G220" s="21">
        <v>5.0930272514476908E-3</v>
      </c>
      <c r="H220" s="21">
        <f t="shared" si="15"/>
        <v>6.9473336832155035E-4</v>
      </c>
    </row>
    <row r="221" spans="1:8" outlineLevel="1" x14ac:dyDescent="0.2">
      <c r="A221" s="30">
        <v>172</v>
      </c>
      <c r="B221" s="29">
        <v>181</v>
      </c>
      <c r="C221" s="29">
        <v>162.8766618503941</v>
      </c>
      <c r="D221" s="29">
        <f t="shared" si="12"/>
        <v>18.1233381496059</v>
      </c>
      <c r="E221" s="21">
        <f t="shared" si="13"/>
        <v>2.422537035509988</v>
      </c>
      <c r="F221" s="21">
        <f t="shared" si="14"/>
        <v>2.422537035509988</v>
      </c>
      <c r="G221" s="21">
        <v>1.7880980559671605E-2</v>
      </c>
      <c r="H221" s="21">
        <f t="shared" si="15"/>
        <v>3.6264582640572689E-2</v>
      </c>
    </row>
    <row r="222" spans="1:8" outlineLevel="1" x14ac:dyDescent="0.2">
      <c r="A222" s="30">
        <v>173</v>
      </c>
      <c r="B222" s="29">
        <v>190</v>
      </c>
      <c r="C222" s="29">
        <v>181.05689922537272</v>
      </c>
      <c r="D222" s="29">
        <f t="shared" si="12"/>
        <v>8.9431007746272826</v>
      </c>
      <c r="E222" s="21">
        <f t="shared" si="13"/>
        <v>1.1954195557126859</v>
      </c>
      <c r="F222" s="21">
        <f t="shared" si="14"/>
        <v>1.1954195557126859</v>
      </c>
      <c r="G222" s="21">
        <v>2.4013811131052623E-2</v>
      </c>
      <c r="H222" s="21">
        <f t="shared" si="15"/>
        <v>1.2008622814506317E-2</v>
      </c>
    </row>
    <row r="223" spans="1:8" outlineLevel="1" x14ac:dyDescent="0.2">
      <c r="A223" s="30">
        <v>174</v>
      </c>
      <c r="B223" s="29">
        <v>177</v>
      </c>
      <c r="C223" s="29">
        <v>168.4495704701713</v>
      </c>
      <c r="D223" s="29">
        <f t="shared" si="12"/>
        <v>8.5504295298287047</v>
      </c>
      <c r="E223" s="21">
        <f t="shared" si="13"/>
        <v>1.1429313978770914</v>
      </c>
      <c r="F223" s="21">
        <f t="shared" si="14"/>
        <v>1.1429313978770914</v>
      </c>
      <c r="G223" s="21">
        <v>1.7970557432756232E-2</v>
      </c>
      <c r="H223" s="21">
        <f t="shared" si="15"/>
        <v>8.1139364840208186E-3</v>
      </c>
    </row>
    <row r="224" spans="1:8" outlineLevel="1" x14ac:dyDescent="0.2">
      <c r="A224" s="30">
        <v>175</v>
      </c>
      <c r="B224" s="29">
        <v>195</v>
      </c>
      <c r="C224" s="29">
        <v>185.7162397892443</v>
      </c>
      <c r="D224" s="29">
        <f t="shared" si="12"/>
        <v>9.2837602107557018</v>
      </c>
      <c r="E224" s="21">
        <f t="shared" si="13"/>
        <v>1.2409553225622931</v>
      </c>
      <c r="F224" s="21">
        <f t="shared" si="14"/>
        <v>1.2409553225622931</v>
      </c>
      <c r="G224" s="21">
        <v>0.12675750428549004</v>
      </c>
      <c r="H224" s="21">
        <f t="shared" si="15"/>
        <v>8.5328673251090587E-2</v>
      </c>
    </row>
    <row r="225" spans="1:8" outlineLevel="1" x14ac:dyDescent="0.2">
      <c r="A225" s="30">
        <v>176</v>
      </c>
      <c r="B225" s="29">
        <v>160</v>
      </c>
      <c r="C225" s="29">
        <v>171.44829263167372</v>
      </c>
      <c r="D225" s="29">
        <f t="shared" si="12"/>
        <v>-11.448292631673723</v>
      </c>
      <c r="E225" s="21">
        <f t="shared" si="13"/>
        <v>-1.5302872276975525</v>
      </c>
      <c r="F225" s="21">
        <f t="shared" si="14"/>
        <v>1.5302872276975525</v>
      </c>
      <c r="G225" s="21">
        <v>1.2003601736372042E-2</v>
      </c>
      <c r="H225" s="21">
        <f t="shared" si="15"/>
        <v>9.5989892919451734E-3</v>
      </c>
    </row>
    <row r="226" spans="1:8" outlineLevel="1" x14ac:dyDescent="0.2">
      <c r="A226" s="30">
        <v>177</v>
      </c>
      <c r="B226" s="29">
        <v>162</v>
      </c>
      <c r="C226" s="29">
        <v>172.07029270637693</v>
      </c>
      <c r="D226" s="29">
        <f t="shared" si="12"/>
        <v>-10.070292706376932</v>
      </c>
      <c r="E226" s="21">
        <f t="shared" si="13"/>
        <v>-1.3460907057100142</v>
      </c>
      <c r="F226" s="21">
        <f t="shared" si="14"/>
        <v>1.3460907057100142</v>
      </c>
      <c r="G226" s="21">
        <v>2.5032648456156326E-2</v>
      </c>
      <c r="H226" s="21">
        <f t="shared" si="15"/>
        <v>1.5905746305683238E-2</v>
      </c>
    </row>
    <row r="227" spans="1:8" outlineLevel="1" x14ac:dyDescent="0.2">
      <c r="A227" s="30">
        <v>178</v>
      </c>
      <c r="B227" s="29">
        <v>153</v>
      </c>
      <c r="C227" s="29">
        <v>156.34625420058381</v>
      </c>
      <c r="D227" s="29">
        <f t="shared" si="12"/>
        <v>-3.3462542005838145</v>
      </c>
      <c r="E227" s="21">
        <f t="shared" si="13"/>
        <v>-0.44729203109425164</v>
      </c>
      <c r="F227" s="21">
        <f t="shared" si="14"/>
        <v>0.44729203109425164</v>
      </c>
      <c r="G227" s="21">
        <v>7.7272340343752339E-3</v>
      </c>
      <c r="H227" s="21">
        <f t="shared" si="15"/>
        <v>5.2338706989555435E-4</v>
      </c>
    </row>
    <row r="228" spans="1:8" outlineLevel="1" x14ac:dyDescent="0.2">
      <c r="A228" s="30">
        <v>179</v>
      </c>
      <c r="B228" s="29">
        <v>162</v>
      </c>
      <c r="C228" s="29">
        <v>157.57854422811974</v>
      </c>
      <c r="D228" s="29">
        <f t="shared" si="12"/>
        <v>4.421455771880261</v>
      </c>
      <c r="E228" s="21">
        <f t="shared" si="13"/>
        <v>0.59101365707742159</v>
      </c>
      <c r="F228" s="21">
        <f t="shared" si="14"/>
        <v>0.59101365707742159</v>
      </c>
      <c r="G228" s="21">
        <v>1.8341019002756007E-2</v>
      </c>
      <c r="H228" s="21">
        <f t="shared" si="15"/>
        <v>2.2160316098123285E-3</v>
      </c>
    </row>
    <row r="229" spans="1:8" outlineLevel="1" x14ac:dyDescent="0.2">
      <c r="A229" s="30">
        <v>180</v>
      </c>
      <c r="B229" s="29">
        <v>186</v>
      </c>
      <c r="C229" s="29">
        <v>184.34233468642881</v>
      </c>
      <c r="D229" s="29">
        <f t="shared" si="12"/>
        <v>1.6576653135711865</v>
      </c>
      <c r="E229" s="21">
        <f t="shared" si="13"/>
        <v>0.22157924668496026</v>
      </c>
      <c r="F229" s="21">
        <f t="shared" si="14"/>
        <v>0.22157924668496026</v>
      </c>
      <c r="G229" s="21">
        <v>4.1626270063703202E-2</v>
      </c>
      <c r="H229" s="21">
        <f t="shared" si="15"/>
        <v>7.4171080281405463E-4</v>
      </c>
    </row>
    <row r="230" spans="1:8" outlineLevel="1" x14ac:dyDescent="0.2">
      <c r="A230" s="30">
        <v>181</v>
      </c>
      <c r="B230" s="29">
        <v>174</v>
      </c>
      <c r="C230" s="29">
        <v>167.41374469294072</v>
      </c>
      <c r="D230" s="29">
        <f t="shared" si="12"/>
        <v>6.5862553070592753</v>
      </c>
      <c r="E230" s="21">
        <f t="shared" si="13"/>
        <v>0.88038126723482568</v>
      </c>
      <c r="F230" s="21">
        <f t="shared" si="14"/>
        <v>0.88038126723482568</v>
      </c>
      <c r="G230" s="21">
        <v>8.7766394973100605E-3</v>
      </c>
      <c r="H230" s="21">
        <f t="shared" si="15"/>
        <v>2.3078391374067525E-3</v>
      </c>
    </row>
    <row r="231" spans="1:8" outlineLevel="1" x14ac:dyDescent="0.2">
      <c r="A231" s="30">
        <v>182</v>
      </c>
      <c r="B231" s="29">
        <v>165</v>
      </c>
      <c r="C231" s="29">
        <v>174.67213545245744</v>
      </c>
      <c r="D231" s="29">
        <f t="shared" si="12"/>
        <v>-9.6721354524574394</v>
      </c>
      <c r="E231" s="21">
        <f t="shared" si="13"/>
        <v>-1.2928692359336034</v>
      </c>
      <c r="F231" s="21">
        <f t="shared" si="14"/>
        <v>1.2928692359336034</v>
      </c>
      <c r="G231" s="21">
        <v>2.0078011178938676E-2</v>
      </c>
      <c r="H231" s="21">
        <f t="shared" si="15"/>
        <v>1.1649992177862913E-2</v>
      </c>
    </row>
    <row r="232" spans="1:8" outlineLevel="1" x14ac:dyDescent="0.2">
      <c r="A232" s="30">
        <v>183</v>
      </c>
      <c r="B232" s="29">
        <v>159</v>
      </c>
      <c r="C232" s="29">
        <v>149.35329621609429</v>
      </c>
      <c r="D232" s="29">
        <f t="shared" si="12"/>
        <v>9.646703783905707</v>
      </c>
      <c r="E232" s="21">
        <f t="shared" si="13"/>
        <v>1.2894697982343886</v>
      </c>
      <c r="F232" s="21">
        <f t="shared" si="14"/>
        <v>1.2894697982343886</v>
      </c>
      <c r="G232" s="21">
        <v>3.025484899788446E-2</v>
      </c>
      <c r="H232" s="21">
        <f t="shared" si="15"/>
        <v>1.7831211481420989E-2</v>
      </c>
    </row>
    <row r="233" spans="1:8" outlineLevel="1" x14ac:dyDescent="0.2">
      <c r="A233" s="30">
        <v>184</v>
      </c>
      <c r="B233" s="29">
        <v>162</v>
      </c>
      <c r="C233" s="29">
        <v>163.54921961526713</v>
      </c>
      <c r="D233" s="29">
        <f t="shared" si="12"/>
        <v>-1.549219615267134</v>
      </c>
      <c r="E233" s="21">
        <f t="shared" si="13"/>
        <v>-0.20708336748684342</v>
      </c>
      <c r="F233" s="21">
        <f t="shared" si="14"/>
        <v>0.20708336748684342</v>
      </c>
      <c r="G233" s="21">
        <v>1.215635172928722E-2</v>
      </c>
      <c r="H233" s="21">
        <f t="shared" si="15"/>
        <v>1.7807215582201259E-4</v>
      </c>
    </row>
    <row r="234" spans="1:8" outlineLevel="1" x14ac:dyDescent="0.2">
      <c r="A234" s="30">
        <v>185</v>
      </c>
      <c r="B234" s="29">
        <v>168</v>
      </c>
      <c r="C234" s="29">
        <v>162.42410378705381</v>
      </c>
      <c r="D234" s="29">
        <f t="shared" si="12"/>
        <v>5.5758962129461906</v>
      </c>
      <c r="E234" s="21">
        <f t="shared" si="13"/>
        <v>0.74532710091908583</v>
      </c>
      <c r="F234" s="21">
        <f t="shared" si="14"/>
        <v>0.74532710091908583</v>
      </c>
      <c r="G234" s="21">
        <v>1.3547761627938082E-2</v>
      </c>
      <c r="H234" s="21">
        <f t="shared" si="15"/>
        <v>2.578030152937717E-3</v>
      </c>
    </row>
    <row r="235" spans="1:8" outlineLevel="1" x14ac:dyDescent="0.2">
      <c r="A235" s="30">
        <v>186</v>
      </c>
      <c r="B235" s="29">
        <v>146</v>
      </c>
      <c r="C235" s="29">
        <v>148.79224023865117</v>
      </c>
      <c r="D235" s="29">
        <f t="shared" si="12"/>
        <v>-2.7922402386511749</v>
      </c>
      <c r="E235" s="21">
        <f t="shared" si="13"/>
        <v>-0.37323727750016139</v>
      </c>
      <c r="F235" s="21">
        <f t="shared" si="14"/>
        <v>0.37323727750016139</v>
      </c>
      <c r="G235" s="21">
        <v>2.1066853103676036E-2</v>
      </c>
      <c r="H235" s="21">
        <f t="shared" si="15"/>
        <v>1.0208040159444495E-3</v>
      </c>
    </row>
    <row r="236" spans="1:8" outlineLevel="1" x14ac:dyDescent="0.2">
      <c r="A236" s="30">
        <v>187</v>
      </c>
      <c r="B236" s="29">
        <v>165</v>
      </c>
      <c r="C236" s="29">
        <v>167.31630006133875</v>
      </c>
      <c r="D236" s="29">
        <f t="shared" si="12"/>
        <v>-2.316300061338751</v>
      </c>
      <c r="E236" s="21">
        <f t="shared" si="13"/>
        <v>-0.3096186054482023</v>
      </c>
      <c r="F236" s="21">
        <f t="shared" si="14"/>
        <v>0.3096186054482023</v>
      </c>
      <c r="G236" s="21">
        <v>1.5687931683436563E-2</v>
      </c>
      <c r="H236" s="21">
        <f t="shared" si="15"/>
        <v>5.1740773314710423E-4</v>
      </c>
    </row>
    <row r="237" spans="1:8" outlineLevel="1" x14ac:dyDescent="0.2">
      <c r="A237" s="30">
        <v>188</v>
      </c>
      <c r="B237" s="29">
        <v>151</v>
      </c>
      <c r="C237" s="29">
        <v>155.8026306037666</v>
      </c>
      <c r="D237" s="29">
        <f t="shared" si="12"/>
        <v>-4.8026306037666018</v>
      </c>
      <c r="E237" s="21">
        <f t="shared" si="13"/>
        <v>-0.64196509547283853</v>
      </c>
      <c r="F237" s="21">
        <f t="shared" si="14"/>
        <v>0.64196509547283853</v>
      </c>
      <c r="G237" s="21">
        <v>1.0584506108002004E-2</v>
      </c>
      <c r="H237" s="21">
        <f t="shared" si="15"/>
        <v>1.4853019808387991E-3</v>
      </c>
    </row>
    <row r="238" spans="1:8" outlineLevel="1" x14ac:dyDescent="0.2">
      <c r="A238" s="30">
        <v>189</v>
      </c>
      <c r="B238" s="29">
        <v>145</v>
      </c>
      <c r="C238" s="29">
        <v>149.94015618321964</v>
      </c>
      <c r="D238" s="29">
        <f t="shared" si="12"/>
        <v>-4.9401561832196421</v>
      </c>
      <c r="E238" s="21">
        <f t="shared" si="13"/>
        <v>-0.66034806702061632</v>
      </c>
      <c r="F238" s="21">
        <f t="shared" si="14"/>
        <v>0.66034806702061632</v>
      </c>
      <c r="G238" s="21">
        <v>1.0437672463581637E-2</v>
      </c>
      <c r="H238" s="21">
        <f t="shared" si="15"/>
        <v>1.549322845237707E-3</v>
      </c>
    </row>
    <row r="239" spans="1:8" outlineLevel="1" x14ac:dyDescent="0.2">
      <c r="A239" s="30">
        <v>190</v>
      </c>
      <c r="B239" s="29">
        <v>178</v>
      </c>
      <c r="C239" s="29">
        <v>181.1614577441099</v>
      </c>
      <c r="D239" s="29">
        <f t="shared" si="12"/>
        <v>-3.1614577441098959</v>
      </c>
      <c r="E239" s="21">
        <f t="shared" si="13"/>
        <v>-0.42259038638931012</v>
      </c>
      <c r="F239" s="21">
        <f t="shared" si="14"/>
        <v>0.42259038638931012</v>
      </c>
      <c r="G239" s="21">
        <v>2.4113757534425934E-2</v>
      </c>
      <c r="H239" s="21">
        <f t="shared" si="15"/>
        <v>1.5072471444848425E-3</v>
      </c>
    </row>
    <row r="240" spans="1:8" outlineLevel="1" x14ac:dyDescent="0.2">
      <c r="A240" s="30">
        <v>191</v>
      </c>
      <c r="B240" s="29">
        <v>166</v>
      </c>
      <c r="C240" s="29">
        <v>160.65044714074878</v>
      </c>
      <c r="D240" s="29">
        <f t="shared" si="12"/>
        <v>5.3495528592512187</v>
      </c>
      <c r="E240" s="21">
        <f t="shared" si="13"/>
        <v>0.71507190441272206</v>
      </c>
      <c r="F240" s="21">
        <f t="shared" si="14"/>
        <v>0.71507190441272206</v>
      </c>
      <c r="G240" s="21">
        <v>3.207178779194312E-2</v>
      </c>
      <c r="H240" s="21">
        <f t="shared" si="15"/>
        <v>5.834653199076262E-3</v>
      </c>
    </row>
    <row r="241" spans="1:8" outlineLevel="1" x14ac:dyDescent="0.2">
      <c r="A241" s="30">
        <v>192</v>
      </c>
      <c r="B241" s="29">
        <v>172</v>
      </c>
      <c r="C241" s="29">
        <v>167.30446404774429</v>
      </c>
      <c r="D241" s="29">
        <f t="shared" si="12"/>
        <v>4.6955359522557103</v>
      </c>
      <c r="E241" s="21">
        <f t="shared" si="13"/>
        <v>0.62764980998577657</v>
      </c>
      <c r="F241" s="21">
        <f t="shared" si="14"/>
        <v>0.62764980998577657</v>
      </c>
      <c r="G241" s="21">
        <v>5.3666951203114252E-2</v>
      </c>
      <c r="H241" s="21">
        <f t="shared" si="15"/>
        <v>7.8692339707888709E-3</v>
      </c>
    </row>
    <row r="242" spans="1:8" outlineLevel="1" x14ac:dyDescent="0.2">
      <c r="A242" s="30">
        <v>193</v>
      </c>
      <c r="B242" s="29">
        <v>149</v>
      </c>
      <c r="C242" s="29">
        <v>156.25420909464725</v>
      </c>
      <c r="D242" s="29">
        <f t="shared" ref="D242:D294" si="16">B242 - C242</f>
        <v>-7.2542090946472513</v>
      </c>
      <c r="E242" s="21">
        <f t="shared" ref="E242:E294" si="17">D242 /7.48113976544041</f>
        <v>-0.9696662971274137</v>
      </c>
      <c r="F242" s="21">
        <f t="shared" ref="F242:F294" si="18">ABS(E242)</f>
        <v>0.9696662971274137</v>
      </c>
      <c r="G242" s="21">
        <v>1.3976372750075634E-2</v>
      </c>
      <c r="H242" s="21">
        <f t="shared" si="15"/>
        <v>4.5055019157835604E-3</v>
      </c>
    </row>
    <row r="243" spans="1:8" outlineLevel="1" x14ac:dyDescent="0.2">
      <c r="A243" s="30">
        <v>194</v>
      </c>
      <c r="B243" s="29">
        <v>139</v>
      </c>
      <c r="C243" s="29">
        <v>142.43036220520455</v>
      </c>
      <c r="D243" s="29">
        <f t="shared" si="16"/>
        <v>-3.4303622052045455</v>
      </c>
      <c r="E243" s="21">
        <f t="shared" si="17"/>
        <v>-0.45853470363584392</v>
      </c>
      <c r="F243" s="21">
        <f t="shared" si="18"/>
        <v>0.45853470363584392</v>
      </c>
      <c r="G243" s="21">
        <v>2.6348069761338726E-2</v>
      </c>
      <c r="H243" s="21">
        <f t="shared" ref="H243:H294" si="19">(F243^2/3)*(G243/(1-G243)^2)</f>
        <v>1.9478903774294274E-3</v>
      </c>
    </row>
    <row r="244" spans="1:8" outlineLevel="1" x14ac:dyDescent="0.2">
      <c r="A244" s="30">
        <v>195</v>
      </c>
      <c r="B244" s="29">
        <v>173</v>
      </c>
      <c r="C244" s="29">
        <v>187.2954221195493</v>
      </c>
      <c r="D244" s="29">
        <f t="shared" si="16"/>
        <v>-14.295422119549301</v>
      </c>
      <c r="E244" s="21">
        <f t="shared" si="17"/>
        <v>-1.9108615221423733</v>
      </c>
      <c r="F244" s="21">
        <f t="shared" si="18"/>
        <v>1.9108615221423733</v>
      </c>
      <c r="G244" s="21">
        <v>3.4569776838361474E-2</v>
      </c>
      <c r="H244" s="21">
        <f t="shared" si="19"/>
        <v>4.5143161554647135E-2</v>
      </c>
    </row>
    <row r="245" spans="1:8" outlineLevel="1" x14ac:dyDescent="0.2">
      <c r="A245" s="30">
        <v>196</v>
      </c>
      <c r="B245" s="29">
        <v>158</v>
      </c>
      <c r="C245" s="29">
        <v>155.48819659186944</v>
      </c>
      <c r="D245" s="29">
        <f t="shared" si="16"/>
        <v>2.5118034081305609</v>
      </c>
      <c r="E245" s="21">
        <f t="shared" si="17"/>
        <v>0.3357514345252568</v>
      </c>
      <c r="F245" s="21">
        <f t="shared" si="18"/>
        <v>0.3357514345252568</v>
      </c>
      <c r="G245" s="21">
        <v>1.3287455389814112E-2</v>
      </c>
      <c r="H245" s="21">
        <f t="shared" si="19"/>
        <v>5.1283188488666649E-4</v>
      </c>
    </row>
    <row r="246" spans="1:8" outlineLevel="1" x14ac:dyDescent="0.2">
      <c r="A246" s="30">
        <v>197</v>
      </c>
      <c r="B246" s="29">
        <v>153</v>
      </c>
      <c r="C246" s="29">
        <v>158.89835307122024</v>
      </c>
      <c r="D246" s="29">
        <f t="shared" si="16"/>
        <v>-5.8983530712202423</v>
      </c>
      <c r="E246" s="21">
        <f t="shared" si="17"/>
        <v>-0.78842973880371148</v>
      </c>
      <c r="F246" s="21">
        <f t="shared" si="18"/>
        <v>0.78842973880371148</v>
      </c>
      <c r="G246" s="21">
        <v>1.849128833329422E-2</v>
      </c>
      <c r="H246" s="21">
        <f t="shared" si="19"/>
        <v>3.9772564305945194E-3</v>
      </c>
    </row>
    <row r="247" spans="1:8" outlineLevel="1" x14ac:dyDescent="0.2">
      <c r="A247" s="30">
        <v>198</v>
      </c>
      <c r="B247" s="29">
        <v>170</v>
      </c>
      <c r="C247" s="29">
        <v>174.4256289005298</v>
      </c>
      <c r="D247" s="29">
        <f t="shared" si="16"/>
        <v>-4.4256289005298015</v>
      </c>
      <c r="E247" s="21">
        <f t="shared" si="17"/>
        <v>-0.59157147697925239</v>
      </c>
      <c r="F247" s="21">
        <f t="shared" si="18"/>
        <v>0.59157147697925239</v>
      </c>
      <c r="G247" s="21">
        <v>1.1143611202263846E-2</v>
      </c>
      <c r="H247" s="21">
        <f t="shared" si="19"/>
        <v>1.329390898322903E-3</v>
      </c>
    </row>
    <row r="248" spans="1:8" outlineLevel="1" x14ac:dyDescent="0.2">
      <c r="A248" s="30">
        <v>199</v>
      </c>
      <c r="B248" s="29">
        <v>155</v>
      </c>
      <c r="C248" s="29">
        <v>155.77631274517375</v>
      </c>
      <c r="D248" s="29">
        <f t="shared" si="16"/>
        <v>-0.77631274517375459</v>
      </c>
      <c r="E248" s="21">
        <f t="shared" si="17"/>
        <v>-0.1037693145047202</v>
      </c>
      <c r="F248" s="21">
        <f t="shared" si="18"/>
        <v>0.1037693145047202</v>
      </c>
      <c r="G248" s="21">
        <v>2.1305658601062281E-2</v>
      </c>
      <c r="H248" s="21">
        <f t="shared" si="19"/>
        <v>7.9839434081028303E-5</v>
      </c>
    </row>
    <row r="249" spans="1:8" outlineLevel="1" x14ac:dyDescent="0.2">
      <c r="A249" s="30">
        <v>200</v>
      </c>
      <c r="B249" s="29">
        <v>154</v>
      </c>
      <c r="C249" s="29">
        <v>157.21498604647741</v>
      </c>
      <c r="D249" s="29">
        <f t="shared" si="16"/>
        <v>-3.2149860464774065</v>
      </c>
      <c r="E249" s="21">
        <f t="shared" si="17"/>
        <v>-0.42974548628662629</v>
      </c>
      <c r="F249" s="21">
        <f t="shared" si="18"/>
        <v>0.42974548628662629</v>
      </c>
      <c r="G249" s="21">
        <v>6.2212994121343158E-3</v>
      </c>
      <c r="H249" s="21">
        <f t="shared" si="19"/>
        <v>3.8779582343046495E-4</v>
      </c>
    </row>
    <row r="250" spans="1:8" outlineLevel="1" x14ac:dyDescent="0.2">
      <c r="A250" s="30">
        <v>201</v>
      </c>
      <c r="B250" s="29">
        <v>158</v>
      </c>
      <c r="C250" s="29">
        <v>158.64926755069101</v>
      </c>
      <c r="D250" s="29">
        <f t="shared" si="16"/>
        <v>-0.6492675506910075</v>
      </c>
      <c r="E250" s="21">
        <f t="shared" si="17"/>
        <v>-8.6787250478909547E-2</v>
      </c>
      <c r="F250" s="21">
        <f t="shared" si="18"/>
        <v>8.6787250478909547E-2</v>
      </c>
      <c r="G250" s="21">
        <v>7.4565808192194657E-3</v>
      </c>
      <c r="H250" s="21">
        <f t="shared" si="19"/>
        <v>1.9003399808442576E-5</v>
      </c>
    </row>
    <row r="251" spans="1:8" outlineLevel="1" x14ac:dyDescent="0.2">
      <c r="A251" s="30">
        <v>202</v>
      </c>
      <c r="B251" s="29">
        <v>164</v>
      </c>
      <c r="C251" s="29">
        <v>170.94382381644041</v>
      </c>
      <c r="D251" s="29">
        <f t="shared" si="16"/>
        <v>-6.943823816440414</v>
      </c>
      <c r="E251" s="21">
        <f t="shared" si="17"/>
        <v>-0.92817726097269826</v>
      </c>
      <c r="F251" s="21">
        <f t="shared" si="18"/>
        <v>0.92817726097269826</v>
      </c>
      <c r="G251" s="21">
        <v>2.6356456795049901E-2</v>
      </c>
      <c r="H251" s="21">
        <f t="shared" si="19"/>
        <v>7.9841308174991923E-3</v>
      </c>
    </row>
    <row r="252" spans="1:8" outlineLevel="1" x14ac:dyDescent="0.2">
      <c r="A252" s="30">
        <v>203</v>
      </c>
      <c r="B252" s="29">
        <v>168</v>
      </c>
      <c r="C252" s="29">
        <v>173.17316655444753</v>
      </c>
      <c r="D252" s="29">
        <f t="shared" si="16"/>
        <v>-5.1731665544475334</v>
      </c>
      <c r="E252" s="21">
        <f t="shared" si="17"/>
        <v>-0.69149444023827722</v>
      </c>
      <c r="F252" s="21">
        <f t="shared" si="18"/>
        <v>0.69149444023827722</v>
      </c>
      <c r="G252" s="21">
        <v>1.7454899612513595E-2</v>
      </c>
      <c r="H252" s="21">
        <f t="shared" si="19"/>
        <v>2.8818309242011815E-3</v>
      </c>
    </row>
    <row r="253" spans="1:8" outlineLevel="1" x14ac:dyDescent="0.2">
      <c r="A253" s="30">
        <v>204</v>
      </c>
      <c r="B253" s="29">
        <v>173</v>
      </c>
      <c r="C253" s="29">
        <v>173.37803579717328</v>
      </c>
      <c r="D253" s="29">
        <f t="shared" si="16"/>
        <v>-0.37803579717328262</v>
      </c>
      <c r="E253" s="21">
        <f t="shared" si="17"/>
        <v>-5.0531845283741716E-2</v>
      </c>
      <c r="F253" s="21">
        <f t="shared" si="18"/>
        <v>5.0531845283741716E-2</v>
      </c>
      <c r="G253" s="21">
        <v>1.4510909620508231E-2</v>
      </c>
      <c r="H253" s="21">
        <f t="shared" si="19"/>
        <v>1.2717450508510986E-5</v>
      </c>
    </row>
    <row r="254" spans="1:8" outlineLevel="1" x14ac:dyDescent="0.2">
      <c r="A254" s="30">
        <v>205</v>
      </c>
      <c r="B254" s="29">
        <v>171</v>
      </c>
      <c r="C254" s="29">
        <v>173.42714792198865</v>
      </c>
      <c r="D254" s="29">
        <f t="shared" si="16"/>
        <v>-2.4271479219886487</v>
      </c>
      <c r="E254" s="21">
        <f t="shared" si="17"/>
        <v>-0.32443558041797443</v>
      </c>
      <c r="F254" s="21">
        <f t="shared" si="18"/>
        <v>0.32443558041797443</v>
      </c>
      <c r="G254" s="21">
        <v>1.3011404176251205E-2</v>
      </c>
      <c r="H254" s="21">
        <f t="shared" si="19"/>
        <v>4.6863594550779859E-4</v>
      </c>
    </row>
    <row r="255" spans="1:8" outlineLevel="1" x14ac:dyDescent="0.2">
      <c r="A255" s="30">
        <v>206</v>
      </c>
      <c r="B255" s="29">
        <v>165</v>
      </c>
      <c r="C255" s="29">
        <v>164.57073067065403</v>
      </c>
      <c r="D255" s="29">
        <f t="shared" si="16"/>
        <v>0.42926932934597062</v>
      </c>
      <c r="E255" s="21">
        <f t="shared" si="17"/>
        <v>5.738020446149221E-2</v>
      </c>
      <c r="F255" s="21">
        <f t="shared" si="18"/>
        <v>5.738020446149221E-2</v>
      </c>
      <c r="G255" s="21">
        <v>1.7494067733608645E-2</v>
      </c>
      <c r="H255" s="21">
        <f t="shared" si="19"/>
        <v>1.9889477270174647E-5</v>
      </c>
    </row>
    <row r="256" spans="1:8" outlineLevel="1" x14ac:dyDescent="0.2">
      <c r="A256" s="30">
        <v>207</v>
      </c>
      <c r="B256" s="29">
        <v>164</v>
      </c>
      <c r="C256" s="29">
        <v>162.64192743338521</v>
      </c>
      <c r="D256" s="29">
        <f t="shared" si="16"/>
        <v>1.3580725666147941</v>
      </c>
      <c r="E256" s="21">
        <f t="shared" si="17"/>
        <v>0.18153284248056623</v>
      </c>
      <c r="F256" s="21">
        <f t="shared" si="18"/>
        <v>0.18153284248056623</v>
      </c>
      <c r="G256" s="21">
        <v>1.1757167485645793E-2</v>
      </c>
      <c r="H256" s="21">
        <f t="shared" si="19"/>
        <v>1.322405113185961E-4</v>
      </c>
    </row>
    <row r="257" spans="1:8" outlineLevel="1" x14ac:dyDescent="0.2">
      <c r="A257" s="30">
        <v>208</v>
      </c>
      <c r="B257" s="29">
        <v>171</v>
      </c>
      <c r="C257" s="29">
        <v>178.70982368626304</v>
      </c>
      <c r="D257" s="29">
        <f t="shared" si="16"/>
        <v>-7.7098236862630358</v>
      </c>
      <c r="E257" s="21">
        <f t="shared" si="17"/>
        <v>-1.0305680588777455</v>
      </c>
      <c r="F257" s="21">
        <f t="shared" si="18"/>
        <v>1.0305680588777455</v>
      </c>
      <c r="G257" s="21">
        <v>1.7039017140199501E-2</v>
      </c>
      <c r="H257" s="21">
        <f t="shared" si="19"/>
        <v>6.2431544902500774E-3</v>
      </c>
    </row>
    <row r="258" spans="1:8" outlineLevel="1" x14ac:dyDescent="0.2">
      <c r="A258" s="30">
        <v>209</v>
      </c>
      <c r="B258" s="29">
        <v>173</v>
      </c>
      <c r="C258" s="29">
        <v>166.30543096867171</v>
      </c>
      <c r="D258" s="29">
        <f t="shared" si="16"/>
        <v>6.6945690313282853</v>
      </c>
      <c r="E258" s="21">
        <f t="shared" si="17"/>
        <v>0.89485950553340321</v>
      </c>
      <c r="F258" s="21">
        <f t="shared" si="18"/>
        <v>0.89485950553340321</v>
      </c>
      <c r="G258" s="21">
        <v>5.0248943653707408E-3</v>
      </c>
      <c r="H258" s="21">
        <f t="shared" si="19"/>
        <v>1.3548492130581898E-3</v>
      </c>
    </row>
    <row r="259" spans="1:8" outlineLevel="1" x14ac:dyDescent="0.2">
      <c r="A259" s="30">
        <v>210</v>
      </c>
      <c r="B259" s="29">
        <v>158</v>
      </c>
      <c r="C259" s="29">
        <v>152.02128682130666</v>
      </c>
      <c r="D259" s="29">
        <f t="shared" si="16"/>
        <v>5.9787131786933401</v>
      </c>
      <c r="E259" s="21">
        <f t="shared" si="17"/>
        <v>0.79917143191367401</v>
      </c>
      <c r="F259" s="21">
        <f t="shared" si="18"/>
        <v>0.79917143191367401</v>
      </c>
      <c r="G259" s="21">
        <v>1.7100302438106191E-2</v>
      </c>
      <c r="H259" s="21">
        <f t="shared" si="19"/>
        <v>3.7682875483579991E-3</v>
      </c>
    </row>
    <row r="260" spans="1:8" outlineLevel="1" x14ac:dyDescent="0.2">
      <c r="A260" s="30">
        <v>211</v>
      </c>
      <c r="B260" s="29">
        <v>157</v>
      </c>
      <c r="C260" s="29">
        <v>159.35923643592241</v>
      </c>
      <c r="D260" s="29">
        <f t="shared" si="16"/>
        <v>-2.3592364359224121</v>
      </c>
      <c r="E260" s="21">
        <f t="shared" si="17"/>
        <v>-0.31535788795459369</v>
      </c>
      <c r="F260" s="21">
        <f t="shared" si="18"/>
        <v>0.31535788795459369</v>
      </c>
      <c r="G260" s="21">
        <v>5.7142765561312573E-3</v>
      </c>
      <c r="H260" s="21">
        <f t="shared" si="19"/>
        <v>1.9161300863492563E-4</v>
      </c>
    </row>
    <row r="261" spans="1:8" outlineLevel="1" x14ac:dyDescent="0.2">
      <c r="A261" s="30">
        <v>212</v>
      </c>
      <c r="B261" s="29">
        <v>154</v>
      </c>
      <c r="C261" s="29">
        <v>144.58712311616637</v>
      </c>
      <c r="D261" s="29">
        <f t="shared" si="16"/>
        <v>9.4128768838336327</v>
      </c>
      <c r="E261" s="21">
        <f t="shared" si="17"/>
        <v>1.2582142800375153</v>
      </c>
      <c r="F261" s="21">
        <f t="shared" si="18"/>
        <v>1.2582142800375153</v>
      </c>
      <c r="G261" s="21">
        <v>2.2660496530108296E-2</v>
      </c>
      <c r="H261" s="21">
        <f t="shared" si="19"/>
        <v>1.2518908946957912E-2</v>
      </c>
    </row>
    <row r="262" spans="1:8" outlineLevel="1" x14ac:dyDescent="0.2">
      <c r="A262" s="30">
        <v>213</v>
      </c>
      <c r="B262" s="29">
        <v>170</v>
      </c>
      <c r="C262" s="29">
        <v>167.25235738257027</v>
      </c>
      <c r="D262" s="29">
        <f t="shared" si="16"/>
        <v>2.747642617429733</v>
      </c>
      <c r="E262" s="21">
        <f t="shared" si="17"/>
        <v>0.36727593703337008</v>
      </c>
      <c r="F262" s="21">
        <f t="shared" si="18"/>
        <v>0.36727593703337008</v>
      </c>
      <c r="G262" s="21">
        <v>1.125130646318458E-2</v>
      </c>
      <c r="H262" s="21">
        <f t="shared" si="19"/>
        <v>5.1748147215981556E-4</v>
      </c>
    </row>
    <row r="263" spans="1:8" outlineLevel="1" x14ac:dyDescent="0.2">
      <c r="A263" s="30">
        <v>214</v>
      </c>
      <c r="B263" s="29">
        <v>167</v>
      </c>
      <c r="C263" s="29">
        <v>158.95613298022266</v>
      </c>
      <c r="D263" s="29">
        <f t="shared" si="16"/>
        <v>8.0438670197773376</v>
      </c>
      <c r="E263" s="21">
        <f t="shared" si="17"/>
        <v>1.0752194547863523</v>
      </c>
      <c r="F263" s="21">
        <f t="shared" si="18"/>
        <v>1.0752194547863523</v>
      </c>
      <c r="G263" s="21">
        <v>4.9079840572393328E-3</v>
      </c>
      <c r="H263" s="21">
        <f t="shared" si="19"/>
        <v>1.9100715361688864E-3</v>
      </c>
    </row>
    <row r="264" spans="1:8" outlineLevel="1" x14ac:dyDescent="0.2">
      <c r="A264" s="30">
        <v>215</v>
      </c>
      <c r="B264" s="29">
        <v>157</v>
      </c>
      <c r="C264" s="29">
        <v>152.01159478512869</v>
      </c>
      <c r="D264" s="29">
        <f t="shared" si="16"/>
        <v>4.9884052148713067</v>
      </c>
      <c r="E264" s="21">
        <f t="shared" si="17"/>
        <v>0.66679748959049723</v>
      </c>
      <c r="F264" s="21">
        <f t="shared" si="18"/>
        <v>0.66679748959049723</v>
      </c>
      <c r="G264" s="21">
        <v>2.9522801249509168E-2</v>
      </c>
      <c r="H264" s="21">
        <f t="shared" si="19"/>
        <v>4.6457255294197102E-3</v>
      </c>
    </row>
    <row r="265" spans="1:8" outlineLevel="1" x14ac:dyDescent="0.2">
      <c r="A265" s="30">
        <v>216</v>
      </c>
      <c r="B265" s="29">
        <v>152</v>
      </c>
      <c r="C265" s="29">
        <v>158.60815295884504</v>
      </c>
      <c r="D265" s="29">
        <f t="shared" si="16"/>
        <v>-6.6081529588450394</v>
      </c>
      <c r="E265" s="21">
        <f t="shared" si="17"/>
        <v>-0.88330831478003025</v>
      </c>
      <c r="F265" s="21">
        <f t="shared" si="18"/>
        <v>0.88330831478003025</v>
      </c>
      <c r="G265" s="21">
        <v>1.9351020849669109E-2</v>
      </c>
      <c r="H265" s="21">
        <f t="shared" si="19"/>
        <v>5.2333538722791322E-3</v>
      </c>
    </row>
    <row r="266" spans="1:8" outlineLevel="1" x14ac:dyDescent="0.2">
      <c r="A266" s="30">
        <v>217</v>
      </c>
      <c r="B266" s="29">
        <v>164</v>
      </c>
      <c r="C266" s="29">
        <v>165.55839825942857</v>
      </c>
      <c r="D266" s="29">
        <f t="shared" si="16"/>
        <v>-1.5583982594285715</v>
      </c>
      <c r="E266" s="21">
        <f t="shared" si="17"/>
        <v>-0.20831027200262839</v>
      </c>
      <c r="F266" s="21">
        <f t="shared" si="18"/>
        <v>0.20831027200262839</v>
      </c>
      <c r="G266" s="21">
        <v>1.2863208709300147E-2</v>
      </c>
      <c r="H266" s="21">
        <f t="shared" si="19"/>
        <v>1.9093904944778156E-4</v>
      </c>
    </row>
    <row r="267" spans="1:8" outlineLevel="1" x14ac:dyDescent="0.2">
      <c r="A267" s="30">
        <v>218</v>
      </c>
      <c r="B267" s="29">
        <v>151</v>
      </c>
      <c r="C267" s="29">
        <v>157.88123381292334</v>
      </c>
      <c r="D267" s="29">
        <f t="shared" si="16"/>
        <v>-6.881233812923341</v>
      </c>
      <c r="E267" s="21">
        <f t="shared" si="17"/>
        <v>-0.91981088827021085</v>
      </c>
      <c r="F267" s="21">
        <f t="shared" si="18"/>
        <v>0.91981088827021085</v>
      </c>
      <c r="G267" s="21">
        <v>8.3604156996736345E-3</v>
      </c>
      <c r="H267" s="21">
        <f t="shared" si="19"/>
        <v>2.3977063896394343E-3</v>
      </c>
    </row>
    <row r="268" spans="1:8" outlineLevel="1" x14ac:dyDescent="0.2">
      <c r="A268" s="30">
        <v>219</v>
      </c>
      <c r="B268" s="29">
        <v>150</v>
      </c>
      <c r="C268" s="29">
        <v>162.30990754983904</v>
      </c>
      <c r="D268" s="29">
        <f t="shared" si="16"/>
        <v>-12.309907549839039</v>
      </c>
      <c r="E268" s="21">
        <f t="shared" si="17"/>
        <v>-1.6454588385990891</v>
      </c>
      <c r="F268" s="21">
        <f t="shared" si="18"/>
        <v>1.6454588385990891</v>
      </c>
      <c r="G268" s="21">
        <v>2.3914422319950619E-2</v>
      </c>
      <c r="H268" s="21">
        <f t="shared" si="19"/>
        <v>2.2653582574331758E-2</v>
      </c>
    </row>
    <row r="269" spans="1:8" outlineLevel="1" x14ac:dyDescent="0.2">
      <c r="A269" s="30">
        <v>220</v>
      </c>
      <c r="B269" s="29">
        <v>147</v>
      </c>
      <c r="C269" s="29">
        <v>164.19639137370444</v>
      </c>
      <c r="D269" s="29">
        <f t="shared" si="16"/>
        <v>-17.196391373704444</v>
      </c>
      <c r="E269" s="21">
        <f t="shared" si="17"/>
        <v>-2.298632549701082</v>
      </c>
      <c r="F269" s="21">
        <f t="shared" si="18"/>
        <v>2.298632549701082</v>
      </c>
      <c r="G269" s="21">
        <v>3.1870404921992695E-2</v>
      </c>
      <c r="H269" s="21">
        <f t="shared" si="19"/>
        <v>5.9887810867133719E-2</v>
      </c>
    </row>
    <row r="270" spans="1:8" outlineLevel="1" x14ac:dyDescent="0.2">
      <c r="A270" s="30">
        <v>221</v>
      </c>
      <c r="B270" s="29">
        <v>167</v>
      </c>
      <c r="C270" s="29">
        <v>176.01353266265068</v>
      </c>
      <c r="D270" s="29">
        <f t="shared" si="16"/>
        <v>-9.0135326626506753</v>
      </c>
      <c r="E270" s="21">
        <f t="shared" si="17"/>
        <v>-1.2048341489740975</v>
      </c>
      <c r="F270" s="21">
        <f t="shared" si="18"/>
        <v>1.2048341489740975</v>
      </c>
      <c r="G270" s="21">
        <v>2.2311362190916117E-2</v>
      </c>
      <c r="H270" s="21">
        <f t="shared" si="19"/>
        <v>1.1294271729836589E-2</v>
      </c>
    </row>
    <row r="271" spans="1:8" outlineLevel="1" x14ac:dyDescent="0.2">
      <c r="A271" s="30">
        <v>222</v>
      </c>
      <c r="B271" s="29">
        <v>179</v>
      </c>
      <c r="C271" s="29">
        <v>177.37277315479531</v>
      </c>
      <c r="D271" s="29">
        <f t="shared" si="16"/>
        <v>1.6272268452046887</v>
      </c>
      <c r="E271" s="21">
        <f t="shared" si="17"/>
        <v>0.21751055269970548</v>
      </c>
      <c r="F271" s="21">
        <f t="shared" si="18"/>
        <v>0.21751055269970548</v>
      </c>
      <c r="G271" s="21">
        <v>3.9692877407009067E-2</v>
      </c>
      <c r="H271" s="21">
        <f t="shared" si="19"/>
        <v>6.7878414873780385E-4</v>
      </c>
    </row>
    <row r="272" spans="1:8" outlineLevel="1" x14ac:dyDescent="0.2">
      <c r="A272" s="30">
        <v>223</v>
      </c>
      <c r="B272" s="29">
        <v>146</v>
      </c>
      <c r="C272" s="29">
        <v>140.84106681943263</v>
      </c>
      <c r="D272" s="29">
        <f t="shared" si="16"/>
        <v>5.1589331805673737</v>
      </c>
      <c r="E272" s="21">
        <f t="shared" si="17"/>
        <v>0.68959187267151267</v>
      </c>
      <c r="F272" s="21">
        <f t="shared" si="18"/>
        <v>0.68959187267151267</v>
      </c>
      <c r="G272" s="21">
        <v>3.561656879703054E-2</v>
      </c>
      <c r="H272" s="21">
        <f t="shared" si="19"/>
        <v>6.0703762753985015E-3</v>
      </c>
    </row>
    <row r="273" spans="1:8" outlineLevel="1" x14ac:dyDescent="0.2">
      <c r="A273" s="30">
        <v>224</v>
      </c>
      <c r="B273" s="29">
        <v>157</v>
      </c>
      <c r="C273" s="29">
        <v>152.04702779905924</v>
      </c>
      <c r="D273" s="29">
        <f t="shared" si="16"/>
        <v>4.9529722009407635</v>
      </c>
      <c r="E273" s="21">
        <f t="shared" si="17"/>
        <v>0.66206117733842185</v>
      </c>
      <c r="F273" s="21">
        <f t="shared" si="18"/>
        <v>0.66206117733842185</v>
      </c>
      <c r="G273" s="21">
        <v>9.875872948175473E-3</v>
      </c>
      <c r="H273" s="21">
        <f t="shared" si="19"/>
        <v>1.4718759076699543E-3</v>
      </c>
    </row>
    <row r="274" spans="1:8" outlineLevel="1" x14ac:dyDescent="0.2">
      <c r="A274" s="30">
        <v>225</v>
      </c>
      <c r="B274" s="29">
        <v>148</v>
      </c>
      <c r="C274" s="29">
        <v>153.19307337111928</v>
      </c>
      <c r="D274" s="29">
        <f t="shared" si="16"/>
        <v>-5.1930733711192829</v>
      </c>
      <c r="E274" s="21">
        <f t="shared" si="17"/>
        <v>-0.69415537390559223</v>
      </c>
      <c r="F274" s="21">
        <f t="shared" si="18"/>
        <v>0.69415537390559223</v>
      </c>
      <c r="G274" s="21">
        <v>1.0420820392907704E-2</v>
      </c>
      <c r="H274" s="21">
        <f t="shared" si="19"/>
        <v>1.7092002107390999E-3</v>
      </c>
    </row>
    <row r="275" spans="1:8" outlineLevel="1" x14ac:dyDescent="0.2">
      <c r="A275" s="30">
        <v>226</v>
      </c>
      <c r="B275" s="29">
        <v>114</v>
      </c>
      <c r="C275" s="29">
        <v>131.15029687918755</v>
      </c>
      <c r="D275" s="29">
        <f t="shared" si="16"/>
        <v>-17.15029687918755</v>
      </c>
      <c r="E275" s="21">
        <f t="shared" si="17"/>
        <v>-2.2924711229717176</v>
      </c>
      <c r="F275" s="21">
        <f t="shared" si="18"/>
        <v>2.2924711229717176</v>
      </c>
      <c r="G275" s="21">
        <v>5.5320394026535692E-2</v>
      </c>
      <c r="H275" s="21">
        <f t="shared" si="19"/>
        <v>0.10859321177361776</v>
      </c>
    </row>
    <row r="276" spans="1:8" outlineLevel="1" x14ac:dyDescent="0.2">
      <c r="A276" s="30">
        <v>227</v>
      </c>
      <c r="B276" s="29">
        <v>144</v>
      </c>
      <c r="C276" s="29">
        <v>149.1460158389545</v>
      </c>
      <c r="D276" s="29">
        <f t="shared" si="16"/>
        <v>-5.1460158389544972</v>
      </c>
      <c r="E276" s="21">
        <f t="shared" si="17"/>
        <v>-0.68786521844262782</v>
      </c>
      <c r="F276" s="21">
        <f t="shared" si="18"/>
        <v>0.68786521844262782</v>
      </c>
      <c r="G276" s="21">
        <v>2.5538622577544461E-2</v>
      </c>
      <c r="H276" s="21">
        <f t="shared" si="19"/>
        <v>4.2418338573807076E-3</v>
      </c>
    </row>
    <row r="277" spans="1:8" outlineLevel="1" x14ac:dyDescent="0.2">
      <c r="A277" s="30">
        <v>228</v>
      </c>
      <c r="B277" s="29">
        <v>157</v>
      </c>
      <c r="C277" s="29">
        <v>158.51215449037542</v>
      </c>
      <c r="D277" s="29">
        <f t="shared" si="16"/>
        <v>-1.5121544903754227</v>
      </c>
      <c r="E277" s="21">
        <f t="shared" si="17"/>
        <v>-0.20212889182486796</v>
      </c>
      <c r="F277" s="21">
        <f t="shared" si="18"/>
        <v>0.20212889182486796</v>
      </c>
      <c r="G277" s="21">
        <v>7.9668003011842056E-3</v>
      </c>
      <c r="H277" s="21">
        <f t="shared" si="19"/>
        <v>1.102470692091863E-4</v>
      </c>
    </row>
    <row r="278" spans="1:8" outlineLevel="1" x14ac:dyDescent="0.2">
      <c r="A278" s="30">
        <v>229</v>
      </c>
      <c r="B278" s="29">
        <v>164</v>
      </c>
      <c r="C278" s="29">
        <v>169.94571314180445</v>
      </c>
      <c r="D278" s="29">
        <f t="shared" si="16"/>
        <v>-5.9457131418044469</v>
      </c>
      <c r="E278" s="21">
        <f t="shared" si="17"/>
        <v>-0.79476033441736216</v>
      </c>
      <c r="F278" s="21">
        <f t="shared" si="18"/>
        <v>0.79476033441736216</v>
      </c>
      <c r="G278" s="21">
        <v>2.2056271097678451E-2</v>
      </c>
      <c r="H278" s="21">
        <f t="shared" si="19"/>
        <v>4.8557405301703112E-3</v>
      </c>
    </row>
    <row r="279" spans="1:8" outlineLevel="1" x14ac:dyDescent="0.2">
      <c r="A279" s="30">
        <v>230</v>
      </c>
      <c r="B279" s="29">
        <v>123</v>
      </c>
      <c r="C279" s="29">
        <v>136.25754943717823</v>
      </c>
      <c r="D279" s="29">
        <f t="shared" si="16"/>
        <v>-13.257549437178227</v>
      </c>
      <c r="E279" s="21">
        <f t="shared" si="17"/>
        <v>-1.7721296290202062</v>
      </c>
      <c r="F279" s="21">
        <f t="shared" si="18"/>
        <v>1.7721296290202062</v>
      </c>
      <c r="G279" s="21">
        <v>4.7016405132608199E-2</v>
      </c>
      <c r="H279" s="21">
        <f t="shared" si="19"/>
        <v>5.4193635970348743E-2</v>
      </c>
    </row>
    <row r="280" spans="1:8" outlineLevel="1" x14ac:dyDescent="0.2">
      <c r="A280" s="30">
        <v>231</v>
      </c>
      <c r="B280" s="29">
        <v>133</v>
      </c>
      <c r="C280" s="29">
        <v>148.48688332506464</v>
      </c>
      <c r="D280" s="29">
        <f t="shared" si="16"/>
        <v>-15.486883325064639</v>
      </c>
      <c r="E280" s="21">
        <f t="shared" si="17"/>
        <v>-2.0701235120091268</v>
      </c>
      <c r="F280" s="21">
        <f t="shared" si="18"/>
        <v>2.0701235120091268</v>
      </c>
      <c r="G280" s="21">
        <v>1.3438105769996236E-2</v>
      </c>
      <c r="H280" s="21">
        <f t="shared" si="19"/>
        <v>1.972243995583256E-2</v>
      </c>
    </row>
    <row r="281" spans="1:8" outlineLevel="1" x14ac:dyDescent="0.2">
      <c r="A281" s="30">
        <v>232</v>
      </c>
      <c r="B281" s="29">
        <v>153</v>
      </c>
      <c r="C281" s="29">
        <v>164.19261098918741</v>
      </c>
      <c r="D281" s="29">
        <f t="shared" si="16"/>
        <v>-11.192610989187415</v>
      </c>
      <c r="E281" s="21">
        <f t="shared" si="17"/>
        <v>-1.4961103976284973</v>
      </c>
      <c r="F281" s="21">
        <f t="shared" si="18"/>
        <v>1.4961103976284973</v>
      </c>
      <c r="G281" s="21">
        <v>1.6603493271391056E-2</v>
      </c>
      <c r="H281" s="21">
        <f t="shared" si="19"/>
        <v>1.280997185969192E-2</v>
      </c>
    </row>
    <row r="282" spans="1:8" outlineLevel="1" x14ac:dyDescent="0.2">
      <c r="A282" s="30">
        <v>233</v>
      </c>
      <c r="B282" s="29">
        <v>161</v>
      </c>
      <c r="C282" s="29">
        <v>174.92533272348408</v>
      </c>
      <c r="D282" s="29">
        <f t="shared" si="16"/>
        <v>-13.925332723484075</v>
      </c>
      <c r="E282" s="21">
        <f t="shared" si="17"/>
        <v>-1.8613918680964918</v>
      </c>
      <c r="F282" s="21">
        <f t="shared" si="18"/>
        <v>1.8613918680964918</v>
      </c>
      <c r="G282" s="21">
        <v>3.5868420328367033E-2</v>
      </c>
      <c r="H282" s="21">
        <f t="shared" si="19"/>
        <v>4.4565009543264561E-2</v>
      </c>
    </row>
    <row r="283" spans="1:8" outlineLevel="1" x14ac:dyDescent="0.2">
      <c r="A283" s="30">
        <v>234</v>
      </c>
      <c r="B283" s="29">
        <v>172</v>
      </c>
      <c r="C283" s="29">
        <v>167.58496112035158</v>
      </c>
      <c r="D283" s="29">
        <f t="shared" si="16"/>
        <v>4.4150388796484208</v>
      </c>
      <c r="E283" s="21">
        <f t="shared" si="17"/>
        <v>0.59015591448297322</v>
      </c>
      <c r="F283" s="21">
        <f t="shared" si="18"/>
        <v>0.59015591448297322</v>
      </c>
      <c r="G283" s="21">
        <v>3.1311024180117608E-2</v>
      </c>
      <c r="H283" s="21">
        <f t="shared" si="19"/>
        <v>3.8738324445813785E-3</v>
      </c>
    </row>
    <row r="284" spans="1:8" outlineLevel="1" x14ac:dyDescent="0.2">
      <c r="A284" s="30">
        <v>235</v>
      </c>
      <c r="B284" s="29">
        <v>159</v>
      </c>
      <c r="C284" s="29">
        <v>161.68877867966555</v>
      </c>
      <c r="D284" s="29">
        <f t="shared" si="16"/>
        <v>-2.6887786796655462</v>
      </c>
      <c r="E284" s="21">
        <f t="shared" si="17"/>
        <v>-0.35940762557151068</v>
      </c>
      <c r="F284" s="21">
        <f t="shared" si="18"/>
        <v>0.35940762557151068</v>
      </c>
      <c r="G284" s="21">
        <v>1.5330194145817974E-2</v>
      </c>
      <c r="H284" s="21">
        <f t="shared" si="19"/>
        <v>6.8080029177489273E-4</v>
      </c>
    </row>
    <row r="285" spans="1:8" outlineLevel="1" x14ac:dyDescent="0.2">
      <c r="A285" s="30">
        <v>236</v>
      </c>
      <c r="B285" s="29">
        <v>164</v>
      </c>
      <c r="C285" s="29">
        <v>152.31477156613158</v>
      </c>
      <c r="D285" s="29">
        <f t="shared" si="16"/>
        <v>11.685228433868417</v>
      </c>
      <c r="E285" s="21">
        <f t="shared" si="17"/>
        <v>1.5619583111986566</v>
      </c>
      <c r="F285" s="21">
        <f t="shared" si="18"/>
        <v>1.5619583111986566</v>
      </c>
      <c r="G285" s="21">
        <v>1.7762637591591184E-2</v>
      </c>
      <c r="H285" s="21">
        <f t="shared" si="19"/>
        <v>1.4972426070555531E-2</v>
      </c>
    </row>
    <row r="286" spans="1:8" outlineLevel="1" x14ac:dyDescent="0.2">
      <c r="A286" s="30">
        <v>237</v>
      </c>
      <c r="B286" s="29">
        <v>169</v>
      </c>
      <c r="C286" s="29">
        <v>173.54201026074509</v>
      </c>
      <c r="D286" s="29">
        <f t="shared" si="16"/>
        <v>-4.5420102607450872</v>
      </c>
      <c r="E286" s="21">
        <f t="shared" si="17"/>
        <v>-0.60712811191246363</v>
      </c>
      <c r="F286" s="21">
        <f t="shared" si="18"/>
        <v>0.60712811191246363</v>
      </c>
      <c r="G286" s="21">
        <v>1.2249890644430883E-2</v>
      </c>
      <c r="H286" s="21">
        <f t="shared" si="19"/>
        <v>1.5426857545704003E-3</v>
      </c>
    </row>
    <row r="287" spans="1:8" outlineLevel="1" x14ac:dyDescent="0.2">
      <c r="A287" s="30">
        <v>238</v>
      </c>
      <c r="B287" s="29">
        <v>167</v>
      </c>
      <c r="C287" s="29">
        <v>161.14214994640054</v>
      </c>
      <c r="D287" s="29">
        <f t="shared" si="16"/>
        <v>5.8578500535994635</v>
      </c>
      <c r="E287" s="21">
        <f t="shared" si="17"/>
        <v>0.783015721836954</v>
      </c>
      <c r="F287" s="21">
        <f t="shared" si="18"/>
        <v>0.783015721836954</v>
      </c>
      <c r="G287" s="21">
        <v>2.0301269415905709E-2</v>
      </c>
      <c r="H287" s="21">
        <f t="shared" si="19"/>
        <v>4.322727049244344E-3</v>
      </c>
    </row>
    <row r="288" spans="1:8" outlineLevel="1" x14ac:dyDescent="0.2">
      <c r="A288" s="30">
        <v>239</v>
      </c>
      <c r="B288" s="29">
        <v>183</v>
      </c>
      <c r="C288" s="29">
        <v>172.94339649109932</v>
      </c>
      <c r="D288" s="29">
        <f t="shared" si="16"/>
        <v>10.056603508900679</v>
      </c>
      <c r="E288" s="21">
        <f t="shared" si="17"/>
        <v>1.3442608779156597</v>
      </c>
      <c r="F288" s="21">
        <f t="shared" si="18"/>
        <v>1.3442608779156597</v>
      </c>
      <c r="G288" s="21">
        <v>1.0244962662466071E-2</v>
      </c>
      <c r="H288" s="21">
        <f t="shared" si="19"/>
        <v>6.2994234496034796E-3</v>
      </c>
    </row>
    <row r="289" spans="1:8" outlineLevel="1" x14ac:dyDescent="0.2">
      <c r="A289" s="30">
        <v>240</v>
      </c>
      <c r="B289" s="29">
        <v>187</v>
      </c>
      <c r="C289" s="29">
        <v>169.26794605900159</v>
      </c>
      <c r="D289" s="29">
        <f t="shared" si="16"/>
        <v>17.732053940998412</v>
      </c>
      <c r="E289" s="21">
        <f t="shared" si="17"/>
        <v>2.3702342820692559</v>
      </c>
      <c r="F289" s="21">
        <f t="shared" si="18"/>
        <v>2.3702342820692559</v>
      </c>
      <c r="G289" s="21">
        <v>2.7688137200596971E-2</v>
      </c>
      <c r="H289" s="21">
        <f t="shared" si="19"/>
        <v>5.4845861835478404E-2</v>
      </c>
    </row>
    <row r="290" spans="1:8" outlineLevel="1" x14ac:dyDescent="0.2">
      <c r="A290" s="30">
        <v>241</v>
      </c>
      <c r="B290" s="29">
        <v>174</v>
      </c>
      <c r="C290" s="29">
        <v>159.15762089150158</v>
      </c>
      <c r="D290" s="29">
        <f t="shared" si="16"/>
        <v>14.84237910849842</v>
      </c>
      <c r="E290" s="21">
        <f t="shared" si="17"/>
        <v>1.9839729738861065</v>
      </c>
      <c r="F290" s="21">
        <f t="shared" si="18"/>
        <v>1.9839729738861065</v>
      </c>
      <c r="G290" s="21">
        <v>1.1266255393962947E-2</v>
      </c>
      <c r="H290" s="21">
        <f t="shared" si="19"/>
        <v>1.5120673225134796E-2</v>
      </c>
    </row>
    <row r="291" spans="1:8" outlineLevel="1" x14ac:dyDescent="0.2">
      <c r="A291" s="30">
        <v>242</v>
      </c>
      <c r="B291" s="29">
        <v>168</v>
      </c>
      <c r="C291" s="29">
        <v>162.29322970322966</v>
      </c>
      <c r="D291" s="29">
        <f t="shared" si="16"/>
        <v>5.706770296770344</v>
      </c>
      <c r="E291" s="21">
        <f t="shared" si="17"/>
        <v>0.76282097056027798</v>
      </c>
      <c r="F291" s="21">
        <f t="shared" si="18"/>
        <v>0.76282097056027798</v>
      </c>
      <c r="G291" s="21">
        <v>2.6707814121265536E-2</v>
      </c>
      <c r="H291" s="21">
        <f t="shared" si="19"/>
        <v>5.4685963001509363E-3</v>
      </c>
    </row>
    <row r="292" spans="1:8" outlineLevel="1" x14ac:dyDescent="0.2">
      <c r="A292" s="30">
        <v>243</v>
      </c>
      <c r="B292" s="29">
        <v>176</v>
      </c>
      <c r="C292" s="29">
        <v>173.07993377325334</v>
      </c>
      <c r="D292" s="29">
        <f t="shared" si="16"/>
        <v>2.9200662267466555</v>
      </c>
      <c r="E292" s="21">
        <f t="shared" si="17"/>
        <v>0.39032370979567615</v>
      </c>
      <c r="F292" s="21">
        <f t="shared" si="18"/>
        <v>0.39032370979567615</v>
      </c>
      <c r="G292" s="21">
        <v>2.7192694890715678E-2</v>
      </c>
      <c r="H292" s="21">
        <f t="shared" si="19"/>
        <v>1.4592416415740417E-3</v>
      </c>
    </row>
    <row r="293" spans="1:8" outlineLevel="1" x14ac:dyDescent="0.2">
      <c r="A293" s="30">
        <v>244</v>
      </c>
      <c r="B293" s="29">
        <v>164</v>
      </c>
      <c r="C293" s="29">
        <v>152.08091413149143</v>
      </c>
      <c r="D293" s="29">
        <f t="shared" si="16"/>
        <v>11.919085868508574</v>
      </c>
      <c r="E293" s="21">
        <f t="shared" si="17"/>
        <v>1.5932179109351132</v>
      </c>
      <c r="F293" s="21">
        <f t="shared" si="18"/>
        <v>1.5932179109351132</v>
      </c>
      <c r="G293" s="21">
        <v>1.740530225170071E-2</v>
      </c>
      <c r="H293" s="21">
        <f t="shared" si="19"/>
        <v>1.5253230822171686E-2</v>
      </c>
    </row>
    <row r="294" spans="1:8" outlineLevel="1" x14ac:dyDescent="0.2">
      <c r="A294" s="30">
        <v>245</v>
      </c>
      <c r="B294" s="29">
        <v>179</v>
      </c>
      <c r="C294" s="29">
        <v>167.69736045471547</v>
      </c>
      <c r="D294" s="29">
        <f t="shared" si="16"/>
        <v>11.302639545284535</v>
      </c>
      <c r="E294" s="21">
        <f t="shared" si="17"/>
        <v>1.5108178565915558</v>
      </c>
      <c r="F294" s="21">
        <f t="shared" si="18"/>
        <v>1.5108178565915558</v>
      </c>
      <c r="G294" s="21">
        <v>5.9407411574856472E-3</v>
      </c>
      <c r="H294" s="21">
        <f t="shared" si="19"/>
        <v>4.5742410222786908E-3</v>
      </c>
    </row>
    <row r="295" spans="1:8" x14ac:dyDescent="0.2">
      <c r="A295" s="47"/>
    </row>
    <row r="298" spans="1:8" x14ac:dyDescent="0.2">
      <c r="A298" s="23" t="s">
        <v>32</v>
      </c>
    </row>
  </sheetData>
  <sortState ref="A50:F294">
    <sortCondition ref="A50"/>
    <sortCondition descending="1" ref="F50"/>
  </sortState>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G192"/>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9.140625" style="21" customWidth="1"/>
    <col min="79" max="16384" width="9.140625" style="21"/>
  </cols>
  <sheetData>
    <row r="1" spans="1:78" x14ac:dyDescent="0.2">
      <c r="A1" s="22" t="s">
        <v>47</v>
      </c>
      <c r="B1" s="21" t="s">
        <v>137</v>
      </c>
      <c r="M1" s="23" t="s">
        <v>129</v>
      </c>
      <c r="N1" s="23" t="s">
        <v>130</v>
      </c>
      <c r="O1" s="23" t="s">
        <v>135</v>
      </c>
      <c r="Q1" s="23" t="s">
        <v>69</v>
      </c>
      <c r="R1" s="23" t="s">
        <v>38</v>
      </c>
      <c r="U1" s="23" t="s">
        <v>204</v>
      </c>
      <c r="Y1" s="21" t="s">
        <v>143</v>
      </c>
      <c r="Z1" s="58" t="s">
        <v>138</v>
      </c>
      <c r="BZ1" s="24" t="s">
        <v>138</v>
      </c>
    </row>
    <row r="2" spans="1:78" x14ac:dyDescent="0.2">
      <c r="A2" s="22" t="s">
        <v>51</v>
      </c>
      <c r="C2" s="21" t="s">
        <v>6</v>
      </c>
      <c r="Q2" s="23" t="s">
        <v>160</v>
      </c>
      <c r="R2" s="23" t="s">
        <v>164</v>
      </c>
      <c r="S2" s="23" t="s">
        <v>184</v>
      </c>
      <c r="T2" s="23" t="s">
        <v>185</v>
      </c>
      <c r="AA2" s="58" t="str">
        <f>"Forecasts and " &amp; TEXT($I$10, "0.0%") &amp; " confidence limits for means and forecasts
Model 2.0 for Y    (1 variable, n=245)"</f>
        <v>Forecasts and 95.0% confidence limits for means and forecasts
Model 2.0 for Y    (1 variable, n=245)</v>
      </c>
    </row>
    <row r="3" spans="1:78" ht="11.25" hidden="1" customHeight="1" outlineLevel="1" x14ac:dyDescent="0.2">
      <c r="A3" s="22" t="s">
        <v>52</v>
      </c>
      <c r="AA3" s="58" t="str">
        <f>IF($A$52 &lt;&gt; "","Actual and Predicted -vs- Observation # with " &amp; TEXT($I$10, "0.0%") &amp; " confidence limits
Model 2.0 for Y    (1 variable, n=245)","Actual and Predicted -vs- Observation #
Model 2.0 for Y    (1 variable, n=245)")</f>
        <v>Actual and Predicted -vs- Observation # with 95.0% confidence limits
Model 2.0 for Y    (1 variable, n=245)</v>
      </c>
    </row>
    <row r="4" spans="1:78" hidden="1" outlineLevel="1" x14ac:dyDescent="0.2">
      <c r="A4" s="21" t="s">
        <v>1</v>
      </c>
    </row>
    <row r="5" spans="1:78" hidden="1" outlineLevel="1" x14ac:dyDescent="0.2">
      <c r="A5" s="22" t="s">
        <v>54</v>
      </c>
    </row>
    <row r="6" spans="1:78" hidden="1" outlineLevel="1" x14ac:dyDescent="0.2">
      <c r="A6" s="21" t="s">
        <v>139</v>
      </c>
    </row>
    <row r="7" spans="1:78" collapsed="1" x14ac:dyDescent="0.2">
      <c r="A7" s="47"/>
      <c r="J7" s="23" t="s">
        <v>133</v>
      </c>
      <c r="K7" s="23" t="s">
        <v>165</v>
      </c>
    </row>
    <row r="8" spans="1:78" hidden="1" x14ac:dyDescent="0.2">
      <c r="A8" s="25" t="s">
        <v>140</v>
      </c>
    </row>
    <row r="9" spans="1:78" ht="12" outlineLevel="1" thickBot="1" x14ac:dyDescent="0.25">
      <c r="A9" s="26"/>
      <c r="B9" s="31" t="s">
        <v>57</v>
      </c>
      <c r="C9" s="31" t="s">
        <v>58</v>
      </c>
      <c r="D9" s="31" t="s">
        <v>59</v>
      </c>
      <c r="E9" s="31" t="s">
        <v>60</v>
      </c>
      <c r="F9" s="31" t="s">
        <v>9</v>
      </c>
      <c r="G9" s="31" t="s">
        <v>61</v>
      </c>
      <c r="H9" s="31" t="str">
        <f>"t("&amp;TEXT((1-I10)/2,"0.00%") &amp; ",243)"</f>
        <v>t(2.50%,243)</v>
      </c>
      <c r="I9" s="31" t="s">
        <v>62</v>
      </c>
    </row>
    <row r="10" spans="1:78" outlineLevel="1" x14ac:dyDescent="0.2">
      <c r="B10" s="9">
        <f xml:space="preserve"> 1 - C20 / C21</f>
        <v>0.49489089888849946</v>
      </c>
      <c r="C10" s="9">
        <f>1-D10^2/E10^2</f>
        <v>0.49281226061232042</v>
      </c>
      <c r="D10" s="9">
        <f xml:space="preserve"> SQRT(D20)</f>
        <v>9.2437546130642154</v>
      </c>
      <c r="E10" s="9">
        <f xml:space="preserve"> SQRT(C21 / B21)</f>
        <v>12.979681473269709</v>
      </c>
      <c r="F10" s="32">
        <v>245</v>
      </c>
      <c r="G10" s="32">
        <v>5</v>
      </c>
      <c r="H10" s="33">
        <f>TINV(1 - $I$10, F10 - 1 - 1)</f>
        <v>1.9697743954267517</v>
      </c>
      <c r="I10" s="34">
        <v>0.95</v>
      </c>
    </row>
    <row r="11" spans="1:78" x14ac:dyDescent="0.2">
      <c r="A11" s="47"/>
    </row>
    <row r="12" spans="1:78" hidden="1" x14ac:dyDescent="0.2">
      <c r="A12" s="25" t="s">
        <v>141</v>
      </c>
    </row>
    <row r="13" spans="1:78" ht="12" outlineLevel="1" thickBot="1" x14ac:dyDescent="0.25">
      <c r="A13" s="35" t="s">
        <v>64</v>
      </c>
      <c r="B13" s="28" t="s">
        <v>65</v>
      </c>
      <c r="C13" s="28" t="s">
        <v>66</v>
      </c>
      <c r="D13" s="28" t="s">
        <v>67</v>
      </c>
      <c r="E13" s="28" t="s">
        <v>68</v>
      </c>
      <c r="F13" s="28" t="str">
        <f>IF($I$10&gt;99%,("Lower"&amp;TEXT($I$10,"0.0%")),("Lower"&amp;TEXT($I$10,"0%")))</f>
        <v>Lower95%</v>
      </c>
      <c r="G13" s="28" t="str">
        <f>IF($I$10&gt;99%,("Upper"&amp;TEXT($I$10,"0.0%")),("Upper"&amp;TEXT($I$10,"0%")))</f>
        <v>Upper95%</v>
      </c>
      <c r="H13" s="31" t="s">
        <v>71</v>
      </c>
      <c r="I13" s="31" t="s">
        <v>70</v>
      </c>
    </row>
    <row r="14" spans="1:78" outlineLevel="1" x14ac:dyDescent="0.2">
      <c r="A14" s="36" t="s">
        <v>72</v>
      </c>
      <c r="B14" s="6">
        <v>129.43823239673341</v>
      </c>
      <c r="C14" s="6">
        <v>2.1771073769926992</v>
      </c>
      <c r="D14" s="6">
        <f>B14 / C14</f>
        <v>59.454225255315677</v>
      </c>
      <c r="E14" s="6">
        <f>TDIST(ABS(D14),$F$10 - 2,2)</f>
        <v>8.7009216934706342E-147</v>
      </c>
      <c r="F14" s="6">
        <f>B14 - $H$10 * C14</f>
        <v>125.1498220294385</v>
      </c>
      <c r="G14" s="6">
        <f>B14 + $H$10 * C14</f>
        <v>133.72664276402833</v>
      </c>
      <c r="H14" s="9">
        <v>0</v>
      </c>
      <c r="I14" s="9">
        <v>0</v>
      </c>
    </row>
    <row r="15" spans="1:78" outlineLevel="1" x14ac:dyDescent="0.2">
      <c r="A15" s="36" t="s">
        <v>1</v>
      </c>
      <c r="B15" s="6">
        <v>0.89834804522571021</v>
      </c>
      <c r="C15" s="6">
        <v>5.8220958850902199E-2</v>
      </c>
      <c r="D15" s="63">
        <f>B15 / C15</f>
        <v>15.429976815158366</v>
      </c>
      <c r="E15" s="6">
        <f>TDIST(ABS(D15),$F$10 - 2,2)</f>
        <v>6.6213339243491123E-38</v>
      </c>
      <c r="F15" s="6">
        <f>B15 - $H$10 * C15</f>
        <v>0.78366589120400854</v>
      </c>
      <c r="G15" s="6">
        <f>B15 + $H$10 * C15</f>
        <v>1.0130301992474118</v>
      </c>
      <c r="H15" s="9">
        <v>1</v>
      </c>
      <c r="I15" s="69">
        <f>B15*10.1642219819239/$E$10</f>
        <v>0.70348482491699693</v>
      </c>
    </row>
    <row r="16" spans="1:78" x14ac:dyDescent="0.2">
      <c r="A16" s="47"/>
    </row>
    <row r="17" spans="1:7" hidden="1" x14ac:dyDescent="0.2">
      <c r="A17" s="25" t="s">
        <v>142</v>
      </c>
    </row>
    <row r="18" spans="1:7" ht="12" hidden="1" outlineLevel="1" thickBot="1" x14ac:dyDescent="0.25">
      <c r="A18" s="35" t="s">
        <v>74</v>
      </c>
      <c r="B18" s="28" t="s">
        <v>78</v>
      </c>
      <c r="C18" s="28" t="s">
        <v>79</v>
      </c>
      <c r="D18" s="28" t="s">
        <v>80</v>
      </c>
      <c r="E18" s="28" t="s">
        <v>81</v>
      </c>
      <c r="F18" s="28" t="s">
        <v>68</v>
      </c>
    </row>
    <row r="19" spans="1:7" hidden="1" outlineLevel="1" x14ac:dyDescent="0.2">
      <c r="A19" s="21" t="s">
        <v>75</v>
      </c>
      <c r="B19" s="30">
        <v>1</v>
      </c>
      <c r="C19" s="38">
        <f>C21 - C20</f>
        <v>20343.579158789318</v>
      </c>
      <c r="D19" s="38">
        <f>C19/B19</f>
        <v>20343.579158789318</v>
      </c>
      <c r="E19" s="29">
        <f>D19/D20</f>
        <v>238.08418451632465</v>
      </c>
      <c r="F19" s="29">
        <f>FDIST(E19,1,243)</f>
        <v>6.6213339243493012E-38</v>
      </c>
    </row>
    <row r="20" spans="1:7" hidden="1" outlineLevel="1" x14ac:dyDescent="0.2">
      <c r="A20" s="21" t="s">
        <v>76</v>
      </c>
      <c r="B20" s="30">
        <v>243</v>
      </c>
      <c r="C20" s="38">
        <v>20763.620841210664</v>
      </c>
      <c r="D20" s="29">
        <f>C20/B20</f>
        <v>85.446999346545951</v>
      </c>
    </row>
    <row r="21" spans="1:7" hidden="1" outlineLevel="1" x14ac:dyDescent="0.2">
      <c r="A21" s="21" t="s">
        <v>77</v>
      </c>
      <c r="B21" s="30">
        <f>B19 + B20</f>
        <v>244</v>
      </c>
      <c r="C21" s="38">
        <v>41107.199999999983</v>
      </c>
    </row>
    <row r="22" spans="1:7" collapsed="1" x14ac:dyDescent="0.2">
      <c r="A22" s="47"/>
    </row>
    <row r="23" spans="1:7" hidden="1" x14ac:dyDescent="0.2">
      <c r="A23" s="25" t="s">
        <v>144</v>
      </c>
    </row>
    <row r="24" spans="1:7" outlineLevel="1" x14ac:dyDescent="0.2"/>
    <row r="25" spans="1:7" outlineLevel="1" x14ac:dyDescent="0.2">
      <c r="B25" s="59" t="s">
        <v>1</v>
      </c>
      <c r="C25" s="59" t="s">
        <v>145</v>
      </c>
      <c r="D25" s="59" t="s">
        <v>146</v>
      </c>
      <c r="E25" s="59" t="s">
        <v>100</v>
      </c>
      <c r="F25" s="59" t="str">
        <f>IF($I$10&gt;99%,("Lower "&amp;TEXT($I$10,"0.0%")),("Lower "&amp;TEXT($I$10,"0%")))</f>
        <v>Lower 95%</v>
      </c>
      <c r="G25" s="59" t="str">
        <f>IF($I$10&gt;99%,("Upper "&amp;TEXT($I$10,"0.0%")),("Upper "&amp;TEXT($I$10,"0%")))</f>
        <v>Upper 95%</v>
      </c>
    </row>
    <row r="26" spans="1:7" outlineLevel="1" x14ac:dyDescent="0.2">
      <c r="B26" s="59">
        <v>4</v>
      </c>
      <c r="C26" s="59">
        <f>$D$10/SQRT($F$10)*SQRT(1+(B26- 35.9918367346939)^2/102.889729279467)</f>
        <v>1.9539766949345614</v>
      </c>
      <c r="D26" s="59">
        <f>SQRT($D$10^2 + C26^2)</f>
        <v>9.4480169491218291</v>
      </c>
      <c r="E26" s="59">
        <f>129.438232396733 + 0.89834804522571 * B26</f>
        <v>133.03162457763585</v>
      </c>
      <c r="F26" s="59">
        <f>E26 - $H$10*D26</f>
        <v>114.4211627036977</v>
      </c>
      <c r="G26" s="59">
        <f>E26 + $H$10*D26</f>
        <v>151.64208645157402</v>
      </c>
    </row>
    <row r="27" spans="1:7" outlineLevel="1" x14ac:dyDescent="0.2">
      <c r="B27" s="59">
        <v>19.5</v>
      </c>
      <c r="C27" s="59">
        <f>$D$10/SQRT($F$10)*SQRT(1+(B27- 35.9918367346939)^2/102.889729279467)</f>
        <v>1.1272491932602389</v>
      </c>
      <c r="D27" s="59">
        <f>SQRT($D$10^2 + C27^2)</f>
        <v>9.3122333567330564</v>
      </c>
      <c r="E27" s="59">
        <f>129.438232396733 + 0.89834804522571 * B27</f>
        <v>146.95601927863436</v>
      </c>
      <c r="F27" s="59">
        <f>E27 - $H$10*D27</f>
        <v>128.61302044830268</v>
      </c>
      <c r="G27" s="59">
        <f>E27 + $H$10*D27</f>
        <v>165.29901810896604</v>
      </c>
    </row>
    <row r="28" spans="1:7" outlineLevel="1" x14ac:dyDescent="0.2">
      <c r="B28" s="59">
        <v>35</v>
      </c>
      <c r="C28" s="59">
        <f>$D$10/SQRT($F$10)*SQRT(1+(B28- 35.9918367346939)^2/102.889729279467)</f>
        <v>0.59337831680803677</v>
      </c>
      <c r="D28" s="59">
        <f>SQRT($D$10^2 + C28^2)</f>
        <v>9.2627802075512893</v>
      </c>
      <c r="E28" s="59">
        <f>129.438232396733 + 0.89834804522571 * B28</f>
        <v>160.88041397963286</v>
      </c>
      <c r="F28" s="59">
        <f>E28 - $H$10*D28</f>
        <v>142.63482669633265</v>
      </c>
      <c r="G28" s="59">
        <f>E28 + $H$10*D28</f>
        <v>179.12600126293307</v>
      </c>
    </row>
    <row r="29" spans="1:7" outlineLevel="1" x14ac:dyDescent="0.2">
      <c r="B29" s="59">
        <v>50.5</v>
      </c>
      <c r="C29" s="59">
        <f>$D$10/SQRT($F$10)*SQRT(1+(B29- 35.9918367346939)^2/102.889729279467)</f>
        <v>1.0306532752597408</v>
      </c>
      <c r="D29" s="59">
        <f>SQRT($D$10^2 + C29^2)</f>
        <v>9.3010346478415826</v>
      </c>
      <c r="E29" s="59">
        <f>129.438232396733 + 0.89834804522571 * B29</f>
        <v>174.80480868063137</v>
      </c>
      <c r="F29" s="59">
        <f>E29 - $H$10*D29</f>
        <v>156.48386878033594</v>
      </c>
      <c r="G29" s="59">
        <f>E29 + $H$10*D29</f>
        <v>193.1257485809268</v>
      </c>
    </row>
    <row r="30" spans="1:7" outlineLevel="1" x14ac:dyDescent="0.2">
      <c r="B30" s="59">
        <v>66</v>
      </c>
      <c r="C30" s="59">
        <f>$D$10/SQRT($F$10)*SQRT(1+(B30- 35.9918367346939)^2/102.889729279467)</f>
        <v>1.8442168485682309</v>
      </c>
      <c r="D30" s="59">
        <f>SQRT($D$10^2 + C30^2)</f>
        <v>9.4259288736489459</v>
      </c>
      <c r="E30" s="59">
        <f>129.438232396733 + 0.89834804522571 * B30</f>
        <v>188.72920338162987</v>
      </c>
      <c r="F30" s="59">
        <f>E30 - $H$10*D30</f>
        <v>170.16225003320247</v>
      </c>
      <c r="G30" s="59">
        <f>E30 + $H$10*D30</f>
        <v>207.29615673005728</v>
      </c>
    </row>
    <row r="31" spans="1:7" outlineLevel="1" x14ac:dyDescent="0.2"/>
    <row r="32" spans="1:7" outlineLevel="1" x14ac:dyDescent="0.2"/>
    <row r="33" spans="1:9" outlineLevel="1" x14ac:dyDescent="0.2"/>
    <row r="34" spans="1:9" outlineLevel="1" x14ac:dyDescent="0.2"/>
    <row r="35" spans="1:9" outlineLevel="1" x14ac:dyDescent="0.2"/>
    <row r="36" spans="1:9" outlineLevel="1" x14ac:dyDescent="0.2"/>
    <row r="37" spans="1:9" outlineLevel="1" x14ac:dyDescent="0.2"/>
    <row r="38" spans="1:9" outlineLevel="1" x14ac:dyDescent="0.2"/>
    <row r="39" spans="1:9" outlineLevel="1" x14ac:dyDescent="0.2"/>
    <row r="40" spans="1:9" outlineLevel="1" x14ac:dyDescent="0.2"/>
    <row r="41" spans="1:9" outlineLevel="1" x14ac:dyDescent="0.2"/>
    <row r="42" spans="1:9" outlineLevel="1" x14ac:dyDescent="0.2"/>
    <row r="43" spans="1:9" outlineLevel="1" x14ac:dyDescent="0.2"/>
    <row r="44" spans="1:9" x14ac:dyDescent="0.2">
      <c r="A44" s="65"/>
    </row>
    <row r="45" spans="1:9" hidden="1" x14ac:dyDescent="0.2">
      <c r="A45" s="25" t="s">
        <v>147</v>
      </c>
    </row>
    <row r="46" spans="1:9" ht="12" outlineLevel="1" thickBot="1" x14ac:dyDescent="0.25">
      <c r="A46" s="26"/>
      <c r="B46" s="28" t="s">
        <v>86</v>
      </c>
      <c r="C46" s="28" t="s">
        <v>87</v>
      </c>
      <c r="D46" s="28" t="s">
        <v>88</v>
      </c>
      <c r="E46" s="28" t="s">
        <v>15</v>
      </c>
      <c r="F46" s="28" t="s">
        <v>16</v>
      </c>
      <c r="G46" s="31" t="s">
        <v>83</v>
      </c>
      <c r="H46" s="31" t="s">
        <v>90</v>
      </c>
      <c r="I46" s="60"/>
    </row>
    <row r="47" spans="1:9" outlineLevel="1" x14ac:dyDescent="0.2">
      <c r="A47" s="21" t="s">
        <v>85</v>
      </c>
      <c r="B47" s="6">
        <v>6.7284046814833979E-15</v>
      </c>
      <c r="C47" s="6">
        <v>9.2059476872980337</v>
      </c>
      <c r="D47" s="6">
        <v>6.263459683366416</v>
      </c>
      <c r="E47" s="6">
        <v>-41.575458115310397</v>
      </c>
      <c r="F47" s="6">
        <v>38.611326246495281</v>
      </c>
      <c r="G47" s="34">
        <v>3.9294888945211479E-2</v>
      </c>
      <c r="H47" s="33" t="s">
        <v>148</v>
      </c>
      <c r="I47" s="33"/>
    </row>
    <row r="48" spans="1:9" outlineLevel="1" x14ac:dyDescent="0.2"/>
    <row r="49" spans="1:85" x14ac:dyDescent="0.2">
      <c r="A49" s="47"/>
    </row>
    <row r="50" spans="1:85" hidden="1" x14ac:dyDescent="0.2">
      <c r="A50" s="25" t="s">
        <v>149</v>
      </c>
    </row>
    <row r="51" spans="1:85" ht="12" outlineLevel="1" thickBot="1" x14ac:dyDescent="0.25">
      <c r="A51" s="28" t="s">
        <v>150</v>
      </c>
      <c r="B51" s="28" t="s">
        <v>151</v>
      </c>
      <c r="C51" s="28" t="s">
        <v>152</v>
      </c>
      <c r="D51" s="28" t="str">
        <f>IF($I$10&gt;99%,("Low"&amp;TEXT($I$10,"0.0%")&amp;"F"),("Lower"&amp;TEXT($I$10,"0%")&amp;"F"))</f>
        <v>Lower95%F</v>
      </c>
      <c r="E51" s="28" t="str">
        <f>IF($I$10&gt;99%,("Up"&amp;TEXT($I$10,"0.0%")&amp;"F"),("Upper"&amp;TEXT($I$10,"0%")&amp;"F"))</f>
        <v>Upper95%F</v>
      </c>
      <c r="F51" s="28" t="s">
        <v>153</v>
      </c>
      <c r="G51" s="28" t="str">
        <f>IF($I$10&gt;99%,("Low"&amp;TEXT($I$10,"0.0%")&amp;"M"),("Lower"&amp;TEXT($I$10,"0%")&amp;"M"))</f>
        <v>Lower95%M</v>
      </c>
      <c r="H51" s="28" t="str">
        <f>IF($I$10&gt;99%,("Up"&amp;TEXT($I$10,"0.0%")&amp;"M"),("Upper"&amp;TEXT($I$10,"0%")&amp;"M"))</f>
        <v>Upper95%M</v>
      </c>
      <c r="I51" s="35" t="s">
        <v>154</v>
      </c>
    </row>
    <row r="52" spans="1:85" outlineLevel="1" x14ac:dyDescent="0.2">
      <c r="A52" s="30">
        <v>246</v>
      </c>
      <c r="B52" s="21">
        <v>166.27050225098753</v>
      </c>
      <c r="C52" s="29">
        <f>SQRT($D$10^2 + F52^2)</f>
        <v>9.2671884379720542</v>
      </c>
      <c r="D52" s="29">
        <f xml:space="preserve"> B52 - $H$10 * C52</f>
        <v>148.01623174827535</v>
      </c>
      <c r="E52" s="29">
        <f xml:space="preserve"> B52 + $H$10 * C52</f>
        <v>184.52477275369972</v>
      </c>
      <c r="F52" s="29">
        <f>$D$10/SQRT($F$10)*SQRT(1+(I52- 35.9918367346939)^2/102.889729279467)</f>
        <v>0.65862143780547089</v>
      </c>
      <c r="G52" s="29">
        <f xml:space="preserve"> B52 - $H$10 * F52</f>
        <v>164.97316660651916</v>
      </c>
      <c r="H52" s="29">
        <f xml:space="preserve"> B52 + $H$10 * F52</f>
        <v>167.56783789545591</v>
      </c>
      <c r="I52" s="61">
        <v>41</v>
      </c>
      <c r="J52" s="61"/>
      <c r="CG52" s="21">
        <f xml:space="preserve"> $C$52 * $H$10</f>
        <v>18.254270502712185</v>
      </c>
    </row>
    <row r="53" spans="1:85" outlineLevel="1" x14ac:dyDescent="0.2">
      <c r="A53" s="30">
        <v>247</v>
      </c>
      <c r="B53" s="21">
        <v>161.77876202485896</v>
      </c>
      <c r="C53" s="29">
        <f>SQRT($D$10^2 + F53^2)</f>
        <v>9.2626002199743827</v>
      </c>
      <c r="D53" s="29">
        <f xml:space="preserve"> B53 - $H$10 * C53</f>
        <v>143.53352927647921</v>
      </c>
      <c r="E53" s="29">
        <f xml:space="preserve"> B53 + $H$10 * C53</f>
        <v>180.02399477323871</v>
      </c>
      <c r="F53" s="29">
        <f>$D$10/SQRT($F$10)*SQRT(1+(I53- 35.9918367346939)^2/102.889729279467)</f>
        <v>0.5905620107351256</v>
      </c>
      <c r="G53" s="29">
        <f xml:space="preserve"> B53 - $H$10 * F53</f>
        <v>160.61548809720117</v>
      </c>
      <c r="H53" s="29">
        <f xml:space="preserve"> B53 + $H$10 * F53</f>
        <v>162.94203595251676</v>
      </c>
      <c r="I53" s="61">
        <v>36</v>
      </c>
      <c r="J53" s="61"/>
      <c r="CG53" s="21">
        <f xml:space="preserve"> $C$53 * $H$10</f>
        <v>18.245232748379738</v>
      </c>
    </row>
    <row r="54" spans="1:85" outlineLevel="1" x14ac:dyDescent="0.2">
      <c r="A54" s="30">
        <v>248</v>
      </c>
      <c r="B54" s="21">
        <v>160.88041397963326</v>
      </c>
      <c r="C54" s="29">
        <f>SQRT($D$10^2 + F54^2)</f>
        <v>9.2627802075512893</v>
      </c>
      <c r="D54" s="29">
        <f xml:space="preserve"> B54 - $H$10 * C54</f>
        <v>142.63482669633305</v>
      </c>
      <c r="E54" s="29">
        <f xml:space="preserve"> B54 + $H$10 * C54</f>
        <v>179.12600126293347</v>
      </c>
      <c r="F54" s="29">
        <f>$D$10/SQRT($F$10)*SQRT(1+(I54- 35.9918367346939)^2/102.889729279467)</f>
        <v>0.59337831680803677</v>
      </c>
      <c r="G54" s="29">
        <f xml:space="preserve"> B54 - $H$10 * F54</f>
        <v>159.71159256438338</v>
      </c>
      <c r="H54" s="29">
        <f xml:space="preserve"> B54 + $H$10 * F54</f>
        <v>162.04923539488314</v>
      </c>
      <c r="I54" s="61">
        <v>35</v>
      </c>
      <c r="J54" s="61"/>
      <c r="CG54" s="21">
        <f xml:space="preserve"> $C$54 * $H$10</f>
        <v>18.245587283300221</v>
      </c>
    </row>
    <row r="55" spans="1:85" outlineLevel="1" x14ac:dyDescent="0.2">
      <c r="A55" s="30">
        <v>249</v>
      </c>
      <c r="B55" s="21">
        <v>170.76224247711608</v>
      </c>
      <c r="C55" s="29">
        <f>SQRT($D$10^2 + F55^2)</f>
        <v>9.2809096675472631</v>
      </c>
      <c r="D55" s="29">
        <f xml:space="preserve"> B55 - $H$10 * C55</f>
        <v>152.48094424771287</v>
      </c>
      <c r="E55" s="29">
        <f xml:space="preserve"> B55 + $H$10 * C55</f>
        <v>189.04354070651928</v>
      </c>
      <c r="F55" s="29">
        <f>$D$10/SQRT($F$10)*SQRT(1+(I55- 35.9918367346939)^2/102.889729279467)</f>
        <v>0.82962938148687781</v>
      </c>
      <c r="G55" s="29">
        <f xml:space="preserve"> B55 - $H$10 * F55</f>
        <v>169.1280597637695</v>
      </c>
      <c r="H55" s="29">
        <f xml:space="preserve"> B55 + $H$10 * F55</f>
        <v>172.39642519046265</v>
      </c>
      <c r="I55" s="61">
        <v>46</v>
      </c>
      <c r="J55" s="61"/>
      <c r="CG55" s="21">
        <f xml:space="preserve"> $C$55 * $H$10</f>
        <v>18.281298229403205</v>
      </c>
    </row>
    <row r="56" spans="1:85" outlineLevel="1" x14ac:dyDescent="0.2">
      <c r="A56" s="30">
        <v>250</v>
      </c>
      <c r="B56" s="21">
        <v>153.69362961782758</v>
      </c>
      <c r="C56" s="29">
        <f>SQRT($D$10^2 + F56^2)</f>
        <v>9.2773826504917132</v>
      </c>
      <c r="D56" s="29">
        <f xml:space="preserve"> B56 - $H$10 * C56</f>
        <v>135.41927881631264</v>
      </c>
      <c r="E56" s="29">
        <f xml:space="preserve"> B56 + $H$10 * C56</f>
        <v>171.96798041934252</v>
      </c>
      <c r="F56" s="29">
        <f>$D$10/SQRT($F$10)*SQRT(1+(I56- 35.9918367346939)^2/102.889729279467)</f>
        <v>0.78919547458070372</v>
      </c>
      <c r="G56" s="29">
        <f xml:space="preserve"> B56 - $H$10 * F56</f>
        <v>152.13909257901184</v>
      </c>
      <c r="H56" s="29">
        <f xml:space="preserve"> B56 + $H$10 * F56</f>
        <v>155.24816665664332</v>
      </c>
      <c r="I56" s="61">
        <v>27</v>
      </c>
      <c r="J56" s="61"/>
      <c r="CG56" s="21">
        <f xml:space="preserve"> $C$56 * $H$10</f>
        <v>18.274350801514949</v>
      </c>
    </row>
    <row r="57" spans="1:85" outlineLevel="1" x14ac:dyDescent="0.2">
      <c r="A57" s="23" t="s">
        <v>39</v>
      </c>
      <c r="I57" s="61"/>
      <c r="J57" s="61"/>
    </row>
    <row r="58" spans="1:85" outlineLevel="1" x14ac:dyDescent="0.2"/>
    <row r="59" spans="1:85" outlineLevel="1" x14ac:dyDescent="0.2"/>
    <row r="60" spans="1:85" outlineLevel="1" x14ac:dyDescent="0.2"/>
    <row r="61" spans="1:85" outlineLevel="1" x14ac:dyDescent="0.2"/>
    <row r="62" spans="1:85" outlineLevel="1" x14ac:dyDescent="0.2"/>
    <row r="63" spans="1:85" outlineLevel="1" x14ac:dyDescent="0.2"/>
    <row r="64" spans="1:85" outlineLevel="1" x14ac:dyDescent="0.2"/>
    <row r="65" spans="1:1" outlineLevel="1" x14ac:dyDescent="0.2"/>
    <row r="66" spans="1:1" outlineLevel="1" x14ac:dyDescent="0.2"/>
    <row r="67" spans="1:1" outlineLevel="1" x14ac:dyDescent="0.2"/>
    <row r="68" spans="1:1" outlineLevel="1" x14ac:dyDescent="0.2"/>
    <row r="69" spans="1:1" outlineLevel="1" x14ac:dyDescent="0.2"/>
    <row r="70" spans="1:1" outlineLevel="1" x14ac:dyDescent="0.2"/>
    <row r="71" spans="1:1" outlineLevel="1" x14ac:dyDescent="0.2"/>
    <row r="72" spans="1:1" outlineLevel="1" x14ac:dyDescent="0.2"/>
    <row r="73" spans="1:1" outlineLevel="1" x14ac:dyDescent="0.2"/>
    <row r="74" spans="1:1" outlineLevel="1" x14ac:dyDescent="0.2"/>
    <row r="75" spans="1:1" outlineLevel="1" x14ac:dyDescent="0.2"/>
    <row r="76" spans="1:1" outlineLevel="1" x14ac:dyDescent="0.2"/>
    <row r="77" spans="1:1" outlineLevel="1" x14ac:dyDescent="0.2"/>
    <row r="78" spans="1:1" outlineLevel="1" x14ac:dyDescent="0.2"/>
    <row r="79" spans="1:1" x14ac:dyDescent="0.2">
      <c r="A79" s="65"/>
    </row>
    <row r="80" spans="1:1" hidden="1" x14ac:dyDescent="0.2">
      <c r="A80" s="25" t="s">
        <v>155</v>
      </c>
    </row>
    <row r="81" spans="1:3" outlineLevel="1" x14ac:dyDescent="0.2"/>
    <row r="82" spans="1:3" outlineLevel="1" x14ac:dyDescent="0.2"/>
    <row r="83" spans="1:3" outlineLevel="1" x14ac:dyDescent="0.2">
      <c r="C83" s="39" t="b">
        <v>0</v>
      </c>
    </row>
    <row r="84" spans="1:3" outlineLevel="1" x14ac:dyDescent="0.2"/>
    <row r="85" spans="1:3" outlineLevel="1" x14ac:dyDescent="0.2"/>
    <row r="86" spans="1:3" outlineLevel="1" x14ac:dyDescent="0.2"/>
    <row r="87" spans="1:3" outlineLevel="1" x14ac:dyDescent="0.2"/>
    <row r="88" spans="1:3" outlineLevel="1" x14ac:dyDescent="0.2"/>
    <row r="89" spans="1:3" outlineLevel="1" x14ac:dyDescent="0.2"/>
    <row r="90" spans="1:3" outlineLevel="1" x14ac:dyDescent="0.2"/>
    <row r="91" spans="1:3" outlineLevel="1" x14ac:dyDescent="0.2"/>
    <row r="92" spans="1:3" outlineLevel="1" x14ac:dyDescent="0.2"/>
    <row r="93" spans="1:3" outlineLevel="1" x14ac:dyDescent="0.2"/>
    <row r="94" spans="1:3" outlineLevel="1" x14ac:dyDescent="0.2"/>
    <row r="95" spans="1:3" outlineLevel="1" x14ac:dyDescent="0.2"/>
    <row r="96" spans="1:3" outlineLevel="1" x14ac:dyDescent="0.2"/>
    <row r="97" spans="1:1" outlineLevel="1" x14ac:dyDescent="0.2"/>
    <row r="98" spans="1:1" outlineLevel="1" x14ac:dyDescent="0.2"/>
    <row r="99" spans="1:1" outlineLevel="1" x14ac:dyDescent="0.2"/>
    <row r="100" spans="1:1" outlineLevel="1" x14ac:dyDescent="0.2"/>
    <row r="101" spans="1:1" x14ac:dyDescent="0.2">
      <c r="A101" s="65"/>
    </row>
    <row r="102" spans="1:1" hidden="1" x14ac:dyDescent="0.2">
      <c r="A102" s="25" t="s">
        <v>156</v>
      </c>
    </row>
    <row r="103" spans="1:1" outlineLevel="1" x14ac:dyDescent="0.2"/>
    <row r="104" spans="1:1" outlineLevel="1" x14ac:dyDescent="0.2"/>
    <row r="105" spans="1:1" outlineLevel="1" x14ac:dyDescent="0.2"/>
    <row r="106" spans="1:1" outlineLevel="1" x14ac:dyDescent="0.2"/>
    <row r="107" spans="1:1" outlineLevel="1" x14ac:dyDescent="0.2"/>
    <row r="108" spans="1:1" outlineLevel="1" x14ac:dyDescent="0.2"/>
    <row r="109" spans="1:1" outlineLevel="1" x14ac:dyDescent="0.2"/>
    <row r="110" spans="1:1" outlineLevel="1" x14ac:dyDescent="0.2"/>
    <row r="111" spans="1:1" outlineLevel="1" x14ac:dyDescent="0.2"/>
    <row r="112" spans="1:1" outlineLevel="1" x14ac:dyDescent="0.2"/>
    <row r="113" spans="1:1" outlineLevel="1" x14ac:dyDescent="0.2"/>
    <row r="114" spans="1:1" outlineLevel="1" x14ac:dyDescent="0.2"/>
    <row r="115" spans="1:1" outlineLevel="1" x14ac:dyDescent="0.2"/>
    <row r="116" spans="1:1" outlineLevel="1" x14ac:dyDescent="0.2"/>
    <row r="117" spans="1:1" outlineLevel="1" x14ac:dyDescent="0.2"/>
    <row r="118" spans="1:1" outlineLevel="1" x14ac:dyDescent="0.2"/>
    <row r="119" spans="1:1" outlineLevel="1" x14ac:dyDescent="0.2"/>
    <row r="120" spans="1:1" outlineLevel="1" x14ac:dyDescent="0.2"/>
    <row r="121" spans="1:1" outlineLevel="1" x14ac:dyDescent="0.2"/>
    <row r="122" spans="1:1" outlineLevel="1" x14ac:dyDescent="0.2"/>
    <row r="123" spans="1:1" x14ac:dyDescent="0.2">
      <c r="A123" s="65"/>
    </row>
    <row r="124" spans="1:1" hidden="1" x14ac:dyDescent="0.2">
      <c r="A124" s="25" t="s">
        <v>157</v>
      </c>
    </row>
    <row r="125" spans="1:1" outlineLevel="1" x14ac:dyDescent="0.2"/>
    <row r="126" spans="1:1" outlineLevel="1" x14ac:dyDescent="0.2"/>
    <row r="127" spans="1:1" outlineLevel="1" x14ac:dyDescent="0.2"/>
    <row r="128" spans="1:1" outlineLevel="1" x14ac:dyDescent="0.2"/>
    <row r="129" outlineLevel="1" x14ac:dyDescent="0.2"/>
    <row r="130" outlineLevel="1" x14ac:dyDescent="0.2"/>
    <row r="131" outlineLevel="1" x14ac:dyDescent="0.2"/>
    <row r="132" outlineLevel="1" x14ac:dyDescent="0.2"/>
    <row r="133" outlineLevel="1" x14ac:dyDescent="0.2"/>
    <row r="134" outlineLevel="1" x14ac:dyDescent="0.2"/>
    <row r="135" outlineLevel="1" x14ac:dyDescent="0.2"/>
    <row r="136" outlineLevel="1" x14ac:dyDescent="0.2"/>
    <row r="137" outlineLevel="1" x14ac:dyDescent="0.2"/>
    <row r="138" outlineLevel="1" x14ac:dyDescent="0.2"/>
    <row r="139" outlineLevel="1" x14ac:dyDescent="0.2"/>
    <row r="140" outlineLevel="1" x14ac:dyDescent="0.2"/>
    <row r="141" outlineLevel="1" x14ac:dyDescent="0.2"/>
    <row r="142" outlineLevel="1" x14ac:dyDescent="0.2"/>
    <row r="143" outlineLevel="1" x14ac:dyDescent="0.2"/>
    <row r="144" outlineLevel="1" x14ac:dyDescent="0.2"/>
    <row r="145" spans="1:1" x14ac:dyDescent="0.2">
      <c r="A145" s="65"/>
    </row>
    <row r="146" spans="1:1" hidden="1" x14ac:dyDescent="0.2">
      <c r="A146" s="25" t="s">
        <v>158</v>
      </c>
    </row>
    <row r="147" spans="1:1" outlineLevel="1" x14ac:dyDescent="0.2"/>
    <row r="148" spans="1:1" outlineLevel="1" x14ac:dyDescent="0.2"/>
    <row r="149" spans="1:1" outlineLevel="1" x14ac:dyDescent="0.2"/>
    <row r="150" spans="1:1" outlineLevel="1" x14ac:dyDescent="0.2"/>
    <row r="151" spans="1:1" outlineLevel="1" x14ac:dyDescent="0.2"/>
    <row r="152" spans="1:1" outlineLevel="1" x14ac:dyDescent="0.2"/>
    <row r="153" spans="1:1" outlineLevel="1" x14ac:dyDescent="0.2"/>
    <row r="154" spans="1:1" outlineLevel="1" x14ac:dyDescent="0.2"/>
    <row r="155" spans="1:1" outlineLevel="1" x14ac:dyDescent="0.2"/>
    <row r="156" spans="1:1" outlineLevel="1" x14ac:dyDescent="0.2"/>
    <row r="157" spans="1:1" outlineLevel="1" x14ac:dyDescent="0.2"/>
    <row r="158" spans="1:1" outlineLevel="1" x14ac:dyDescent="0.2"/>
    <row r="159" spans="1:1" outlineLevel="1" x14ac:dyDescent="0.2"/>
    <row r="160" spans="1:1" outlineLevel="1" x14ac:dyDescent="0.2"/>
    <row r="161" spans="1:1" outlineLevel="1" x14ac:dyDescent="0.2"/>
    <row r="162" spans="1:1" outlineLevel="1" x14ac:dyDescent="0.2"/>
    <row r="163" spans="1:1" outlineLevel="1" x14ac:dyDescent="0.2"/>
    <row r="164" spans="1:1" outlineLevel="1" x14ac:dyDescent="0.2"/>
    <row r="165" spans="1:1" outlineLevel="1" x14ac:dyDescent="0.2"/>
    <row r="166" spans="1:1" outlineLevel="1" x14ac:dyDescent="0.2"/>
    <row r="167" spans="1:1" x14ac:dyDescent="0.2">
      <c r="A167" s="65"/>
    </row>
    <row r="168" spans="1:1" hidden="1" x14ac:dyDescent="0.2">
      <c r="A168" s="25" t="s">
        <v>159</v>
      </c>
    </row>
    <row r="169" spans="1:1" outlineLevel="1" x14ac:dyDescent="0.2"/>
    <row r="170" spans="1:1" outlineLevel="1" x14ac:dyDescent="0.2"/>
    <row r="171" spans="1:1" outlineLevel="1" x14ac:dyDescent="0.2"/>
    <row r="172" spans="1:1" outlineLevel="1" x14ac:dyDescent="0.2"/>
    <row r="173" spans="1:1" outlineLevel="1" x14ac:dyDescent="0.2"/>
    <row r="174" spans="1:1" outlineLevel="1" x14ac:dyDescent="0.2"/>
    <row r="175" spans="1:1" outlineLevel="1" x14ac:dyDescent="0.2"/>
    <row r="176" spans="1:1" outlineLevel="1" x14ac:dyDescent="0.2"/>
    <row r="177" spans="1:1" outlineLevel="1" x14ac:dyDescent="0.2"/>
    <row r="178" spans="1:1" outlineLevel="1" x14ac:dyDescent="0.2"/>
    <row r="179" spans="1:1" outlineLevel="1" x14ac:dyDescent="0.2"/>
    <row r="180" spans="1:1" outlineLevel="1" x14ac:dyDescent="0.2"/>
    <row r="181" spans="1:1" outlineLevel="1" x14ac:dyDescent="0.2"/>
    <row r="182" spans="1:1" outlineLevel="1" x14ac:dyDescent="0.2"/>
    <row r="183" spans="1:1" outlineLevel="1" x14ac:dyDescent="0.2"/>
    <row r="184" spans="1:1" outlineLevel="1" x14ac:dyDescent="0.2"/>
    <row r="185" spans="1:1" outlineLevel="1" x14ac:dyDescent="0.2"/>
    <row r="186" spans="1:1" outlineLevel="1" x14ac:dyDescent="0.2"/>
    <row r="187" spans="1:1" outlineLevel="1" x14ac:dyDescent="0.2"/>
    <row r="188" spans="1:1" outlineLevel="1" x14ac:dyDescent="0.2"/>
    <row r="189" spans="1:1" x14ac:dyDescent="0.2">
      <c r="A189" s="65"/>
    </row>
    <row r="192" spans="1:1" x14ac:dyDescent="0.2">
      <c r="A192" s="23" t="s">
        <v>32</v>
      </c>
    </row>
  </sheetData>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CG172"/>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9.140625" style="21" customWidth="1"/>
    <col min="79" max="16384" width="9.140625" style="21"/>
  </cols>
  <sheetData>
    <row r="1" spans="1:78" x14ac:dyDescent="0.2">
      <c r="A1" s="22" t="s">
        <v>47</v>
      </c>
      <c r="B1" s="21" t="s">
        <v>168</v>
      </c>
      <c r="M1" s="23" t="s">
        <v>129</v>
      </c>
      <c r="N1" s="23" t="s">
        <v>130</v>
      </c>
      <c r="O1" s="23" t="s">
        <v>135</v>
      </c>
      <c r="Q1" s="23" t="s">
        <v>174</v>
      </c>
      <c r="R1" s="23" t="s">
        <v>44</v>
      </c>
      <c r="U1" s="23" t="s">
        <v>136</v>
      </c>
      <c r="Y1" s="21" t="s">
        <v>143</v>
      </c>
      <c r="Z1" s="58" t="s">
        <v>169</v>
      </c>
      <c r="BZ1" s="24" t="s">
        <v>169</v>
      </c>
    </row>
    <row r="2" spans="1:78" x14ac:dyDescent="0.2">
      <c r="A2" s="22" t="s">
        <v>51</v>
      </c>
      <c r="C2" s="21" t="s">
        <v>6</v>
      </c>
      <c r="Q2" s="23" t="s">
        <v>181</v>
      </c>
      <c r="R2" s="23" t="s">
        <v>182</v>
      </c>
      <c r="S2" s="23" t="s">
        <v>202</v>
      </c>
      <c r="T2" s="23" t="s">
        <v>203</v>
      </c>
      <c r="AA2" s="58" t="str">
        <f>"Forecasts and " &amp; TEXT($I$10, "0.0%") &amp; " confidence limits for means and forecasts
Model 3.0 for Y    (3 variables, n=245)"</f>
        <v>Forecasts and 95.0% confidence limits for means and forecasts
Model 3.0 for Y    (3 variables, n=245)</v>
      </c>
    </row>
    <row r="3" spans="1:78" ht="11.25" hidden="1" customHeight="1" outlineLevel="1" x14ac:dyDescent="0.2">
      <c r="A3" s="22" t="s">
        <v>52</v>
      </c>
      <c r="AA3" s="58" t="str">
        <f>IF($A$32 &lt;&gt; "","Actual and Predicted -vs- Observation # with " &amp; TEXT($I$10, "0.0%") &amp; " confidence limits
Model 3.0 for Y    (3 variables, n=245)","Actual and Predicted -vs- Observation #
Model 3.0 for Y    (3 variables, n=245)")</f>
        <v>Actual and Predicted -vs- Observation # with 95.0% confidence limits
Model 3.0 for Y    (3 variables, n=245)</v>
      </c>
    </row>
    <row r="4" spans="1:78" hidden="1" outlineLevel="1" x14ac:dyDescent="0.2">
      <c r="A4" s="21" t="s">
        <v>170</v>
      </c>
    </row>
    <row r="5" spans="1:78" hidden="1" outlineLevel="1" x14ac:dyDescent="0.2">
      <c r="A5" s="22" t="s">
        <v>54</v>
      </c>
    </row>
    <row r="6" spans="1:78" hidden="1" outlineLevel="1" x14ac:dyDescent="0.2">
      <c r="A6" s="21" t="s">
        <v>171</v>
      </c>
    </row>
    <row r="7" spans="1:78" collapsed="1" x14ac:dyDescent="0.2">
      <c r="A7" s="47"/>
      <c r="J7" s="23" t="s">
        <v>133</v>
      </c>
      <c r="K7" s="23" t="s">
        <v>183</v>
      </c>
    </row>
    <row r="8" spans="1:78" hidden="1" x14ac:dyDescent="0.2">
      <c r="A8" s="25" t="s">
        <v>172</v>
      </c>
    </row>
    <row r="9" spans="1:78" ht="12" outlineLevel="1" thickBot="1" x14ac:dyDescent="0.25">
      <c r="A9" s="26"/>
      <c r="B9" s="31" t="s">
        <v>57</v>
      </c>
      <c r="C9" s="31" t="s">
        <v>58</v>
      </c>
      <c r="D9" s="31" t="s">
        <v>59</v>
      </c>
      <c r="E9" s="31" t="s">
        <v>60</v>
      </c>
      <c r="F9" s="31" t="s">
        <v>9</v>
      </c>
      <c r="G9" s="31" t="s">
        <v>61</v>
      </c>
      <c r="H9" s="31" t="str">
        <f>"t("&amp;TEXT((1-I10)/2,"0.00%") &amp; ",241)"</f>
        <v>t(2.50%,241)</v>
      </c>
      <c r="I9" s="31" t="s">
        <v>62</v>
      </c>
    </row>
    <row r="10" spans="1:78" outlineLevel="1" x14ac:dyDescent="0.2">
      <c r="B10" s="9">
        <f xml:space="preserve"> 1 - C22 / C23</f>
        <v>0.66570838487475181</v>
      </c>
      <c r="C10" s="9">
        <f>1-D10^2/E10^2</f>
        <v>0.66154707846240435</v>
      </c>
      <c r="D10" s="9">
        <f xml:space="preserve"> SQRT(D22)</f>
        <v>7.5511512357090416</v>
      </c>
      <c r="E10" s="9">
        <f xml:space="preserve"> SQRT(C23 / B23)</f>
        <v>12.979681473269709</v>
      </c>
      <c r="F10" s="32">
        <v>245</v>
      </c>
      <c r="G10" s="32">
        <v>5</v>
      </c>
      <c r="H10" s="33">
        <f>TINV(1 - $I$10, F10 - 3 - 1)</f>
        <v>1.9698562125960952</v>
      </c>
      <c r="I10" s="34">
        <v>0.95</v>
      </c>
    </row>
    <row r="11" spans="1:78" x14ac:dyDescent="0.2">
      <c r="A11" s="47"/>
    </row>
    <row r="12" spans="1:78" hidden="1" x14ac:dyDescent="0.2">
      <c r="A12" s="25" t="s">
        <v>173</v>
      </c>
    </row>
    <row r="13" spans="1:78" ht="12" outlineLevel="1" thickBot="1" x14ac:dyDescent="0.25">
      <c r="A13" s="35" t="s">
        <v>64</v>
      </c>
      <c r="B13" s="28" t="s">
        <v>65</v>
      </c>
      <c r="C13" s="28" t="s">
        <v>66</v>
      </c>
      <c r="D13" s="28" t="s">
        <v>67</v>
      </c>
      <c r="E13" s="28" t="s">
        <v>68</v>
      </c>
      <c r="F13" s="28" t="str">
        <f>IF($I$10&gt;99%,("Lower"&amp;TEXT($I$10,"0.0%")),("Lower"&amp;TEXT($I$10,"0%")))</f>
        <v>Lower95%</v>
      </c>
      <c r="G13" s="28" t="str">
        <f>IF($I$10&gt;99%,("Upper"&amp;TEXT($I$10,"0.0%")),("Upper"&amp;TEXT($I$10,"0%")))</f>
        <v>Upper95%</v>
      </c>
      <c r="H13" s="31" t="s">
        <v>71</v>
      </c>
      <c r="I13" s="31" t="s">
        <v>70</v>
      </c>
    </row>
    <row r="14" spans="1:78" outlineLevel="1" x14ac:dyDescent="0.2">
      <c r="A14" s="36" t="s">
        <v>72</v>
      </c>
      <c r="B14" s="6">
        <v>101.66164588682072</v>
      </c>
      <c r="C14" s="6">
        <v>3.0845125210762334</v>
      </c>
      <c r="D14" s="6">
        <f>B14 / C14</f>
        <v>32.958739895583058</v>
      </c>
      <c r="E14" s="6">
        <f>TDIST(ABS(D14),$F$10 - 4,2)</f>
        <v>2.9493064965708288E-91</v>
      </c>
      <c r="F14" s="6">
        <f>B14 - $H$10 * C14</f>
        <v>95.585599734348264</v>
      </c>
      <c r="G14" s="6">
        <f>B14 + $H$10 * C14</f>
        <v>107.73769203929318</v>
      </c>
      <c r="H14" s="9">
        <v>0</v>
      </c>
      <c r="I14" s="9">
        <v>0</v>
      </c>
    </row>
    <row r="15" spans="1:78" outlineLevel="1" x14ac:dyDescent="0.2">
      <c r="A15" s="36" t="s">
        <v>1</v>
      </c>
      <c r="B15" s="6">
        <v>0.93188750279877264</v>
      </c>
      <c r="C15" s="6">
        <v>4.7698543735822239E-2</v>
      </c>
      <c r="D15" s="78">
        <f t="shared" ref="D15:D17" si="0">B15 / C15</f>
        <v>19.537022093588838</v>
      </c>
      <c r="E15" s="6">
        <f t="shared" ref="E15:E17" si="1">TDIST(ABS(D15),$F$10 - 4,2)</f>
        <v>1.3755936334556505E-51</v>
      </c>
      <c r="F15" s="6">
        <f t="shared" ref="F15:F17" si="2">B15 - $H$10 * C15</f>
        <v>0.83792823008897666</v>
      </c>
      <c r="G15" s="6">
        <f t="shared" ref="G15:G17" si="3">B15 + $H$10 * C15</f>
        <v>1.0258467755085687</v>
      </c>
      <c r="H15" s="9">
        <v>1.005824041151075</v>
      </c>
      <c r="I15" s="79">
        <f>B15*10.1642219819239/$E$10</f>
        <v>0.72974914370078048</v>
      </c>
    </row>
    <row r="16" spans="1:78" outlineLevel="1" x14ac:dyDescent="0.2">
      <c r="A16" s="36" t="s">
        <v>2</v>
      </c>
      <c r="B16" s="6">
        <v>-7.7726853247574612E-2</v>
      </c>
      <c r="C16" s="6">
        <v>4.8122459720092561E-2</v>
      </c>
      <c r="D16" s="78">
        <f t="shared" si="0"/>
        <v>-1.6151887019008992</v>
      </c>
      <c r="E16" s="6">
        <f t="shared" si="1"/>
        <v>0.10757821255129181</v>
      </c>
      <c r="F16" s="6">
        <f t="shared" si="2"/>
        <v>-0.17252117949260429</v>
      </c>
      <c r="G16" s="6">
        <f t="shared" si="3"/>
        <v>1.7067472997455063E-2</v>
      </c>
      <c r="H16" s="9">
        <v>1.0028524800730823</v>
      </c>
      <c r="I16" s="79">
        <f>B16*10.0597911405706/$E$10</f>
        <v>-6.0241532990979473E-2</v>
      </c>
    </row>
    <row r="17" spans="1:85" outlineLevel="1" x14ac:dyDescent="0.2">
      <c r="A17" s="36" t="s">
        <v>3</v>
      </c>
      <c r="B17" s="6">
        <v>5.2651424631669164E-2</v>
      </c>
      <c r="C17" s="37">
        <v>4.7832725080884948E-3</v>
      </c>
      <c r="D17" s="78">
        <f t="shared" si="0"/>
        <v>11.007406444570284</v>
      </c>
      <c r="E17" s="6">
        <f t="shared" si="1"/>
        <v>4.2645686116703389E-23</v>
      </c>
      <c r="F17" s="6">
        <f t="shared" si="2"/>
        <v>4.3229065565070939E-2</v>
      </c>
      <c r="G17" s="6">
        <f t="shared" si="3"/>
        <v>6.2073783698267389E-2</v>
      </c>
      <c r="H17" s="9">
        <v>1.0035717212097941</v>
      </c>
      <c r="I17" s="79">
        <f>B17*101.2435440036/$E$10</f>
        <v>0.41068934068424334</v>
      </c>
    </row>
    <row r="18" spans="1:85" x14ac:dyDescent="0.2">
      <c r="A18" s="47"/>
    </row>
    <row r="19" spans="1:85" hidden="1" x14ac:dyDescent="0.2">
      <c r="A19" s="25" t="s">
        <v>175</v>
      </c>
    </row>
    <row r="20" spans="1:85" ht="12" hidden="1" outlineLevel="1" thickBot="1" x14ac:dyDescent="0.25">
      <c r="A20" s="35" t="s">
        <v>74</v>
      </c>
      <c r="B20" s="28" t="s">
        <v>78</v>
      </c>
      <c r="C20" s="28" t="s">
        <v>79</v>
      </c>
      <c r="D20" s="28" t="s">
        <v>80</v>
      </c>
      <c r="E20" s="28" t="s">
        <v>81</v>
      </c>
      <c r="F20" s="28" t="s">
        <v>68</v>
      </c>
    </row>
    <row r="21" spans="1:85" hidden="1" outlineLevel="1" x14ac:dyDescent="0.2">
      <c r="A21" s="21" t="s">
        <v>75</v>
      </c>
      <c r="B21" s="30">
        <v>3</v>
      </c>
      <c r="C21" s="38">
        <f>C23 - C22</f>
        <v>27365.407718723389</v>
      </c>
      <c r="D21" s="38">
        <f>C21/B21</f>
        <v>9121.8025729077963</v>
      </c>
      <c r="E21" s="29">
        <f>D21/D22</f>
        <v>159.97581502276606</v>
      </c>
      <c r="F21" s="29">
        <f>FDIST(E21,3,241)</f>
        <v>4.612686001756051E-57</v>
      </c>
    </row>
    <row r="22" spans="1:85" hidden="1" outlineLevel="1" x14ac:dyDescent="0.2">
      <c r="A22" s="21" t="s">
        <v>76</v>
      </c>
      <c r="B22" s="30">
        <v>241</v>
      </c>
      <c r="C22" s="38">
        <v>13741.792281276594</v>
      </c>
      <c r="D22" s="29">
        <f>C22/B22</f>
        <v>57.019884984550181</v>
      </c>
    </row>
    <row r="23" spans="1:85" hidden="1" outlineLevel="1" x14ac:dyDescent="0.2">
      <c r="A23" s="21" t="s">
        <v>77</v>
      </c>
      <c r="B23" s="30">
        <f>B21 + B22</f>
        <v>244</v>
      </c>
      <c r="C23" s="38">
        <v>41107.199999999983</v>
      </c>
    </row>
    <row r="24" spans="1:85" collapsed="1" x14ac:dyDescent="0.2">
      <c r="A24" s="47"/>
    </row>
    <row r="25" spans="1:85" hidden="1" x14ac:dyDescent="0.2">
      <c r="A25" s="25" t="s">
        <v>176</v>
      </c>
    </row>
    <row r="26" spans="1:85" ht="12" outlineLevel="1" thickBot="1" x14ac:dyDescent="0.25">
      <c r="A26" s="26"/>
      <c r="B26" s="28" t="s">
        <v>86</v>
      </c>
      <c r="C26" s="28" t="s">
        <v>87</v>
      </c>
      <c r="D26" s="28" t="s">
        <v>88</v>
      </c>
      <c r="E26" s="28" t="s">
        <v>15</v>
      </c>
      <c r="F26" s="28" t="s">
        <v>16</v>
      </c>
      <c r="G26" s="31" t="s">
        <v>83</v>
      </c>
      <c r="H26" s="31" t="s">
        <v>90</v>
      </c>
      <c r="I26" s="60"/>
    </row>
    <row r="27" spans="1:85" outlineLevel="1" x14ac:dyDescent="0.2">
      <c r="A27" s="21" t="s">
        <v>85</v>
      </c>
      <c r="B27" s="6">
        <v>1.5312920999238078E-14</v>
      </c>
      <c r="C27" s="6">
        <v>7.4892555095178341</v>
      </c>
      <c r="D27" s="6">
        <v>6.0766124273989428</v>
      </c>
      <c r="E27" s="6">
        <v>-19.751899627073158</v>
      </c>
      <c r="F27" s="6">
        <v>17.19474964067112</v>
      </c>
      <c r="G27" s="34">
        <v>3.7829544485168426E-2</v>
      </c>
      <c r="H27" s="33" t="s">
        <v>177</v>
      </c>
      <c r="I27" s="33"/>
    </row>
    <row r="28" spans="1:85" outlineLevel="1" x14ac:dyDescent="0.2"/>
    <row r="29" spans="1:85" x14ac:dyDescent="0.2">
      <c r="A29" s="47"/>
    </row>
    <row r="30" spans="1:85" hidden="1" x14ac:dyDescent="0.2">
      <c r="A30" s="25" t="s">
        <v>178</v>
      </c>
    </row>
    <row r="31" spans="1:85" ht="12" outlineLevel="1" thickBot="1" x14ac:dyDescent="0.25">
      <c r="A31" s="28" t="s">
        <v>150</v>
      </c>
      <c r="B31" s="28" t="s">
        <v>151</v>
      </c>
      <c r="C31" s="28" t="s">
        <v>152</v>
      </c>
      <c r="D31" s="28" t="str">
        <f>IF($I$10&gt;99%,("Low"&amp;TEXT($I$10,"0.0%")&amp;"F"),("Lower"&amp;TEXT($I$10,"0%")&amp;"F"))</f>
        <v>Lower95%F</v>
      </c>
      <c r="E31" s="28" t="str">
        <f>IF($I$10&gt;99%,("Up"&amp;TEXT($I$10,"0.0%")&amp;"F"),("Upper"&amp;TEXT($I$10,"0%")&amp;"F"))</f>
        <v>Upper95%F</v>
      </c>
      <c r="F31" s="28" t="s">
        <v>153</v>
      </c>
      <c r="G31" s="28" t="str">
        <f>IF($I$10&gt;99%,("Low"&amp;TEXT($I$10,"0.0%")&amp;"M"),("Lower"&amp;TEXT($I$10,"0%")&amp;"M"))</f>
        <v>Lower95%M</v>
      </c>
      <c r="H31" s="28" t="str">
        <f>IF($I$10&gt;99%,("Up"&amp;TEXT($I$10,"0.0%")&amp;"M"),("Upper"&amp;TEXT($I$10,"0%")&amp;"M"))</f>
        <v>Upper95%M</v>
      </c>
      <c r="I31" s="35" t="s">
        <v>154</v>
      </c>
      <c r="J31" s="35" t="s">
        <v>179</v>
      </c>
      <c r="K31" s="35" t="s">
        <v>180</v>
      </c>
    </row>
    <row r="32" spans="1:85" outlineLevel="1" x14ac:dyDescent="0.2">
      <c r="A32" s="30">
        <v>246</v>
      </c>
      <c r="B32" s="29">
        <v>167.45831025394773</v>
      </c>
      <c r="C32" s="29">
        <v>7.6317887222920255</v>
      </c>
      <c r="D32" s="29">
        <f xml:space="preserve"> B32 - $H$10 * C32</f>
        <v>152.42478382611998</v>
      </c>
      <c r="E32" s="29">
        <f xml:space="preserve"> B32 + $H$10 * C32</f>
        <v>182.49183668177548</v>
      </c>
      <c r="F32" s="29">
        <v>1.1064872873890406</v>
      </c>
      <c r="G32" s="29">
        <f xml:space="preserve"> B32 - $H$10 * F32</f>
        <v>165.27868939672584</v>
      </c>
      <c r="H32" s="29">
        <f xml:space="preserve"> B32 + $H$10 * F32</f>
        <v>169.63793111116962</v>
      </c>
      <c r="I32" s="61">
        <v>41</v>
      </c>
      <c r="J32" s="61">
        <v>21</v>
      </c>
      <c r="K32" s="61">
        <v>555</v>
      </c>
      <c r="L32" s="61"/>
      <c r="CG32" s="21">
        <f xml:space="preserve"> $C$32 * $H$10</f>
        <v>15.033526427827763</v>
      </c>
    </row>
    <row r="33" spans="1:85" outlineLevel="1" x14ac:dyDescent="0.2">
      <c r="A33" s="30">
        <v>247</v>
      </c>
      <c r="B33" s="29">
        <v>162.84409221700326</v>
      </c>
      <c r="C33" s="29">
        <v>7.5747074607488107</v>
      </c>
      <c r="D33" s="29">
        <f xml:space="preserve"> B33 - $H$10 * C33</f>
        <v>147.92300766684923</v>
      </c>
      <c r="E33" s="29">
        <f xml:space="preserve"> B33 + $H$10 * C33</f>
        <v>177.7651767671573</v>
      </c>
      <c r="F33" s="29">
        <v>0.59691551443526325</v>
      </c>
      <c r="G33" s="29">
        <f xml:space="preserve"> B33 - $H$10 * F33</f>
        <v>161.66825448249796</v>
      </c>
      <c r="H33" s="29">
        <f xml:space="preserve"> B33 + $H$10 * F33</f>
        <v>164.01992995150857</v>
      </c>
      <c r="I33" s="61">
        <v>36</v>
      </c>
      <c r="J33" s="61">
        <v>-6</v>
      </c>
      <c r="K33" s="61">
        <v>516</v>
      </c>
      <c r="L33" s="61"/>
      <c r="CG33" s="21">
        <f xml:space="preserve"> $C$33 * $H$10</f>
        <v>14.921084550154038</v>
      </c>
    </row>
    <row r="34" spans="1:85" outlineLevel="1" x14ac:dyDescent="0.2">
      <c r="A34" s="30">
        <v>248</v>
      </c>
      <c r="B34" s="29">
        <v>162.0776606902991</v>
      </c>
      <c r="C34" s="29">
        <v>7.5675855787260318</v>
      </c>
      <c r="D34" s="29">
        <f xml:space="preserve"> B34 - $H$10 * C34</f>
        <v>147.170605223693</v>
      </c>
      <c r="E34" s="29">
        <f xml:space="preserve"> B34 + $H$10 * C34</f>
        <v>176.98471615690519</v>
      </c>
      <c r="F34" s="29">
        <v>0.49846414795051219</v>
      </c>
      <c r="G34" s="29">
        <f xml:space="preserve"> B34 - $H$10 * F34</f>
        <v>161.09575799170236</v>
      </c>
      <c r="H34" s="29">
        <f xml:space="preserve"> B34 + $H$10 * F34</f>
        <v>163.05956338889584</v>
      </c>
      <c r="I34" s="61">
        <v>35</v>
      </c>
      <c r="J34" s="61">
        <v>0</v>
      </c>
      <c r="K34" s="61">
        <v>528</v>
      </c>
      <c r="L34" s="61"/>
      <c r="CG34" s="21">
        <f xml:space="preserve"> $C$34 * $H$10</f>
        <v>14.90705546660609</v>
      </c>
    </row>
    <row r="35" spans="1:85" outlineLevel="1" x14ac:dyDescent="0.2">
      <c r="A35" s="30">
        <v>249</v>
      </c>
      <c r="B35" s="29">
        <v>165.58654030083207</v>
      </c>
      <c r="C35" s="29">
        <v>7.5996282987883523</v>
      </c>
      <c r="D35" s="29">
        <f xml:space="preserve"> B35 - $H$10 * C35</f>
        <v>150.61636528304274</v>
      </c>
      <c r="E35" s="29">
        <f xml:space="preserve"> B35 + $H$10 * C35</f>
        <v>180.5567153186214</v>
      </c>
      <c r="F35" s="29">
        <v>0.85700950706194534</v>
      </c>
      <c r="G35" s="29">
        <f xml:space="preserve"> B35 - $H$10 * F35</f>
        <v>163.89835479909217</v>
      </c>
      <c r="H35" s="29">
        <f xml:space="preserve"> B35 + $H$10 * F35</f>
        <v>167.27472580257196</v>
      </c>
      <c r="I35" s="61">
        <v>46</v>
      </c>
      <c r="J35" s="61">
        <v>-2</v>
      </c>
      <c r="K35" s="61">
        <v>397</v>
      </c>
      <c r="L35" s="61"/>
      <c r="CG35" s="21">
        <f xml:space="preserve"> $C$35 * $H$10</f>
        <v>14.97017501778933</v>
      </c>
    </row>
    <row r="36" spans="1:85" outlineLevel="1" x14ac:dyDescent="0.2">
      <c r="A36" s="30">
        <v>250</v>
      </c>
      <c r="B36" s="29">
        <v>149.01386390631887</v>
      </c>
      <c r="C36" s="29">
        <v>7.6409936758917292</v>
      </c>
      <c r="D36" s="29">
        <f xml:space="preserve"> B36 - $H$10 * C36</f>
        <v>133.96220504345607</v>
      </c>
      <c r="E36" s="29">
        <f xml:space="preserve"> B36 + $H$10 * C36</f>
        <v>164.06552276918168</v>
      </c>
      <c r="F36" s="29">
        <v>1.1682890782966358</v>
      </c>
      <c r="G36" s="29">
        <f xml:space="preserve"> B36 - $H$10 * F36</f>
        <v>146.71250240732809</v>
      </c>
      <c r="H36" s="29">
        <f xml:space="preserve"> B36 + $H$10 * F36</f>
        <v>151.31522540530966</v>
      </c>
      <c r="I36" s="61">
        <v>27</v>
      </c>
      <c r="J36" s="61">
        <v>20</v>
      </c>
      <c r="K36" s="61">
        <v>451</v>
      </c>
      <c r="L36" s="61"/>
      <c r="CG36" s="21">
        <f xml:space="preserve"> $C$36 * $H$10</f>
        <v>15.051658862862798</v>
      </c>
    </row>
    <row r="37" spans="1:85" outlineLevel="1" x14ac:dyDescent="0.2">
      <c r="A37" s="23" t="s">
        <v>39</v>
      </c>
      <c r="I37" s="61"/>
      <c r="J37" s="61"/>
      <c r="K37" s="61"/>
      <c r="L37" s="61"/>
    </row>
    <row r="38" spans="1:85" outlineLevel="1" x14ac:dyDescent="0.2"/>
    <row r="39" spans="1:85" outlineLevel="1" x14ac:dyDescent="0.2"/>
    <row r="40" spans="1:85" outlineLevel="1" x14ac:dyDescent="0.2"/>
    <row r="41" spans="1:85" outlineLevel="1" x14ac:dyDescent="0.2"/>
    <row r="42" spans="1:85" outlineLevel="1" x14ac:dyDescent="0.2"/>
    <row r="43" spans="1:85" outlineLevel="1" x14ac:dyDescent="0.2"/>
    <row r="44" spans="1:85" outlineLevel="1" x14ac:dyDescent="0.2"/>
    <row r="45" spans="1:85" outlineLevel="1" x14ac:dyDescent="0.2"/>
    <row r="46" spans="1:85" outlineLevel="1" x14ac:dyDescent="0.2"/>
    <row r="47" spans="1:85" outlineLevel="1" x14ac:dyDescent="0.2"/>
    <row r="48" spans="1:85" outlineLevel="1" x14ac:dyDescent="0.2"/>
    <row r="49" spans="1:3" outlineLevel="1" x14ac:dyDescent="0.2"/>
    <row r="50" spans="1:3" outlineLevel="1" x14ac:dyDescent="0.2"/>
    <row r="51" spans="1:3" outlineLevel="1" x14ac:dyDescent="0.2"/>
    <row r="52" spans="1:3" outlineLevel="1" x14ac:dyDescent="0.2"/>
    <row r="53" spans="1:3" outlineLevel="1" x14ac:dyDescent="0.2"/>
    <row r="54" spans="1:3" outlineLevel="1" x14ac:dyDescent="0.2"/>
    <row r="55" spans="1:3" outlineLevel="1" x14ac:dyDescent="0.2"/>
    <row r="56" spans="1:3" outlineLevel="1" x14ac:dyDescent="0.2"/>
    <row r="57" spans="1:3" outlineLevel="1" x14ac:dyDescent="0.2"/>
    <row r="58" spans="1:3" outlineLevel="1" x14ac:dyDescent="0.2"/>
    <row r="59" spans="1:3" x14ac:dyDescent="0.2">
      <c r="A59" s="65"/>
    </row>
    <row r="60" spans="1:3" hidden="1" x14ac:dyDescent="0.2">
      <c r="A60" s="25" t="s">
        <v>155</v>
      </c>
    </row>
    <row r="61" spans="1:3" outlineLevel="1" x14ac:dyDescent="0.2"/>
    <row r="62" spans="1:3" outlineLevel="1" x14ac:dyDescent="0.2"/>
    <row r="63" spans="1:3" outlineLevel="1" x14ac:dyDescent="0.2">
      <c r="C63" s="39" t="b">
        <v>0</v>
      </c>
    </row>
    <row r="64" spans="1:3" outlineLevel="1" x14ac:dyDescent="0.2"/>
    <row r="65" outlineLevel="1" x14ac:dyDescent="0.2"/>
    <row r="66" outlineLevel="1" x14ac:dyDescent="0.2"/>
    <row r="67" outlineLevel="1" x14ac:dyDescent="0.2"/>
    <row r="68" outlineLevel="1" x14ac:dyDescent="0.2"/>
    <row r="69" outlineLevel="1" x14ac:dyDescent="0.2"/>
    <row r="70" outlineLevel="1" x14ac:dyDescent="0.2"/>
    <row r="71" outlineLevel="1" x14ac:dyDescent="0.2"/>
    <row r="72" outlineLevel="1" x14ac:dyDescent="0.2"/>
    <row r="73" outlineLevel="1" x14ac:dyDescent="0.2"/>
    <row r="74" outlineLevel="1" x14ac:dyDescent="0.2"/>
    <row r="75" outlineLevel="1" x14ac:dyDescent="0.2"/>
    <row r="76" outlineLevel="1" x14ac:dyDescent="0.2"/>
    <row r="77" outlineLevel="1" x14ac:dyDescent="0.2"/>
    <row r="78" outlineLevel="1" x14ac:dyDescent="0.2"/>
    <row r="79" outlineLevel="1" x14ac:dyDescent="0.2"/>
    <row r="80" outlineLevel="1" x14ac:dyDescent="0.2"/>
    <row r="81" spans="1:1" x14ac:dyDescent="0.2">
      <c r="A81" s="65"/>
    </row>
    <row r="82" spans="1:1" hidden="1" x14ac:dyDescent="0.2">
      <c r="A82" s="25" t="s">
        <v>156</v>
      </c>
    </row>
    <row r="83" spans="1:1" outlineLevel="1" x14ac:dyDescent="0.2"/>
    <row r="84" spans="1:1" outlineLevel="1" x14ac:dyDescent="0.2"/>
    <row r="85" spans="1:1" outlineLevel="1" x14ac:dyDescent="0.2"/>
    <row r="86" spans="1:1" outlineLevel="1" x14ac:dyDescent="0.2"/>
    <row r="87" spans="1:1" outlineLevel="1" x14ac:dyDescent="0.2"/>
    <row r="88" spans="1:1" outlineLevel="1" x14ac:dyDescent="0.2"/>
    <row r="89" spans="1:1" outlineLevel="1" x14ac:dyDescent="0.2"/>
    <row r="90" spans="1:1" outlineLevel="1" x14ac:dyDescent="0.2"/>
    <row r="91" spans="1:1" outlineLevel="1" x14ac:dyDescent="0.2"/>
    <row r="92" spans="1:1" outlineLevel="1" x14ac:dyDescent="0.2"/>
    <row r="93" spans="1:1" outlineLevel="1" x14ac:dyDescent="0.2"/>
    <row r="94" spans="1:1" outlineLevel="1" x14ac:dyDescent="0.2"/>
    <row r="95" spans="1:1" outlineLevel="1" x14ac:dyDescent="0.2"/>
    <row r="96" spans="1:1" outlineLevel="1" x14ac:dyDescent="0.2"/>
    <row r="97" spans="1:1" outlineLevel="1" x14ac:dyDescent="0.2"/>
    <row r="98" spans="1:1" outlineLevel="1" x14ac:dyDescent="0.2"/>
    <row r="99" spans="1:1" outlineLevel="1" x14ac:dyDescent="0.2"/>
    <row r="100" spans="1:1" outlineLevel="1" x14ac:dyDescent="0.2"/>
    <row r="101" spans="1:1" outlineLevel="1" x14ac:dyDescent="0.2"/>
    <row r="102" spans="1:1" outlineLevel="1" x14ac:dyDescent="0.2"/>
    <row r="103" spans="1:1" x14ac:dyDescent="0.2">
      <c r="A103" s="65"/>
    </row>
    <row r="104" spans="1:1" hidden="1" x14ac:dyDescent="0.2">
      <c r="A104" s="25" t="s">
        <v>157</v>
      </c>
    </row>
    <row r="105" spans="1:1" outlineLevel="1" x14ac:dyDescent="0.2"/>
    <row r="106" spans="1:1" outlineLevel="1" x14ac:dyDescent="0.2"/>
    <row r="107" spans="1:1" outlineLevel="1" x14ac:dyDescent="0.2"/>
    <row r="108" spans="1:1" outlineLevel="1" x14ac:dyDescent="0.2"/>
    <row r="109" spans="1:1" outlineLevel="1" x14ac:dyDescent="0.2"/>
    <row r="110" spans="1:1" outlineLevel="1" x14ac:dyDescent="0.2"/>
    <row r="111" spans="1:1" outlineLevel="1" x14ac:dyDescent="0.2"/>
    <row r="112" spans="1:1" outlineLevel="1" x14ac:dyDescent="0.2"/>
    <row r="113" spans="1:1" outlineLevel="1" x14ac:dyDescent="0.2"/>
    <row r="114" spans="1:1" outlineLevel="1" x14ac:dyDescent="0.2"/>
    <row r="115" spans="1:1" outlineLevel="1" x14ac:dyDescent="0.2"/>
    <row r="116" spans="1:1" outlineLevel="1" x14ac:dyDescent="0.2"/>
    <row r="117" spans="1:1" outlineLevel="1" x14ac:dyDescent="0.2"/>
    <row r="118" spans="1:1" outlineLevel="1" x14ac:dyDescent="0.2"/>
    <row r="119" spans="1:1" outlineLevel="1" x14ac:dyDescent="0.2"/>
    <row r="120" spans="1:1" outlineLevel="1" x14ac:dyDescent="0.2"/>
    <row r="121" spans="1:1" outlineLevel="1" x14ac:dyDescent="0.2"/>
    <row r="122" spans="1:1" outlineLevel="1" x14ac:dyDescent="0.2"/>
    <row r="123" spans="1:1" outlineLevel="1" x14ac:dyDescent="0.2"/>
    <row r="124" spans="1:1" outlineLevel="1" x14ac:dyDescent="0.2"/>
    <row r="125" spans="1:1" x14ac:dyDescent="0.2">
      <c r="A125" s="65"/>
    </row>
    <row r="126" spans="1:1" hidden="1" x14ac:dyDescent="0.2">
      <c r="A126" s="25" t="s">
        <v>158</v>
      </c>
    </row>
    <row r="127" spans="1:1" outlineLevel="1" x14ac:dyDescent="0.2"/>
    <row r="128" spans="1:1" outlineLevel="1" x14ac:dyDescent="0.2"/>
    <row r="129" outlineLevel="1" x14ac:dyDescent="0.2"/>
    <row r="130" outlineLevel="1" x14ac:dyDescent="0.2"/>
    <row r="131" outlineLevel="1" x14ac:dyDescent="0.2"/>
    <row r="132" outlineLevel="1" x14ac:dyDescent="0.2"/>
    <row r="133" outlineLevel="1" x14ac:dyDescent="0.2"/>
    <row r="134" outlineLevel="1" x14ac:dyDescent="0.2"/>
    <row r="135" outlineLevel="1" x14ac:dyDescent="0.2"/>
    <row r="136" outlineLevel="1" x14ac:dyDescent="0.2"/>
    <row r="137" outlineLevel="1" x14ac:dyDescent="0.2"/>
    <row r="138" outlineLevel="1" x14ac:dyDescent="0.2"/>
    <row r="139" outlineLevel="1" x14ac:dyDescent="0.2"/>
    <row r="140" outlineLevel="1" x14ac:dyDescent="0.2"/>
    <row r="141" outlineLevel="1" x14ac:dyDescent="0.2"/>
    <row r="142" outlineLevel="1" x14ac:dyDescent="0.2"/>
    <row r="143" outlineLevel="1" x14ac:dyDescent="0.2"/>
    <row r="144" outlineLevel="1" x14ac:dyDescent="0.2"/>
    <row r="145" spans="1:1" outlineLevel="1" x14ac:dyDescent="0.2"/>
    <row r="146" spans="1:1" outlineLevel="1" x14ac:dyDescent="0.2"/>
    <row r="147" spans="1:1" x14ac:dyDescent="0.2">
      <c r="A147" s="65"/>
    </row>
    <row r="148" spans="1:1" hidden="1" x14ac:dyDescent="0.2">
      <c r="A148" s="25" t="s">
        <v>159</v>
      </c>
    </row>
    <row r="149" spans="1:1" outlineLevel="1" x14ac:dyDescent="0.2"/>
    <row r="150" spans="1:1" outlineLevel="1" x14ac:dyDescent="0.2"/>
    <row r="151" spans="1:1" outlineLevel="1" x14ac:dyDescent="0.2"/>
    <row r="152" spans="1:1" outlineLevel="1" x14ac:dyDescent="0.2"/>
    <row r="153" spans="1:1" outlineLevel="1" x14ac:dyDescent="0.2"/>
    <row r="154" spans="1:1" outlineLevel="1" x14ac:dyDescent="0.2"/>
    <row r="155" spans="1:1" outlineLevel="1" x14ac:dyDescent="0.2"/>
    <row r="156" spans="1:1" outlineLevel="1" x14ac:dyDescent="0.2"/>
    <row r="157" spans="1:1" outlineLevel="1" x14ac:dyDescent="0.2"/>
    <row r="158" spans="1:1" outlineLevel="1" x14ac:dyDescent="0.2"/>
    <row r="159" spans="1:1" outlineLevel="1" x14ac:dyDescent="0.2"/>
    <row r="160" spans="1:1" outlineLevel="1" x14ac:dyDescent="0.2"/>
    <row r="161" spans="1:1" outlineLevel="1" x14ac:dyDescent="0.2"/>
    <row r="162" spans="1:1" outlineLevel="1" x14ac:dyDescent="0.2"/>
    <row r="163" spans="1:1" outlineLevel="1" x14ac:dyDescent="0.2"/>
    <row r="164" spans="1:1" outlineLevel="1" x14ac:dyDescent="0.2"/>
    <row r="165" spans="1:1" outlineLevel="1" x14ac:dyDescent="0.2"/>
    <row r="166" spans="1:1" outlineLevel="1" x14ac:dyDescent="0.2"/>
    <row r="167" spans="1:1" outlineLevel="1" x14ac:dyDescent="0.2"/>
    <row r="168" spans="1:1" outlineLevel="1" x14ac:dyDescent="0.2"/>
    <row r="169" spans="1:1" x14ac:dyDescent="0.2">
      <c r="A169" s="65"/>
    </row>
    <row r="172" spans="1:1" x14ac:dyDescent="0.2">
      <c r="A172" s="23" t="s">
        <v>32</v>
      </c>
    </row>
  </sheetData>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CG174"/>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77.42578125" style="21" bestFit="1" customWidth="1"/>
    <col min="79" max="16384" width="9.140625" style="21"/>
  </cols>
  <sheetData>
    <row r="1" spans="1:78" x14ac:dyDescent="0.2">
      <c r="A1" s="22" t="s">
        <v>47</v>
      </c>
      <c r="B1" s="21" t="s">
        <v>186</v>
      </c>
      <c r="M1" s="23" t="s">
        <v>129</v>
      </c>
      <c r="N1" s="23" t="s">
        <v>130</v>
      </c>
      <c r="O1" s="23" t="s">
        <v>135</v>
      </c>
      <c r="Q1" s="23" t="s">
        <v>65</v>
      </c>
      <c r="R1" s="23" t="s">
        <v>49</v>
      </c>
      <c r="U1" s="23" t="s">
        <v>136</v>
      </c>
      <c r="Y1" s="21" t="s">
        <v>143</v>
      </c>
      <c r="Z1" s="58" t="s">
        <v>187</v>
      </c>
      <c r="BZ1" s="24" t="s">
        <v>187</v>
      </c>
    </row>
    <row r="2" spans="1:78" x14ac:dyDescent="0.2">
      <c r="A2" s="22" t="s">
        <v>51</v>
      </c>
      <c r="C2" s="21" t="s">
        <v>6</v>
      </c>
      <c r="Q2" s="23" t="s">
        <v>199</v>
      </c>
      <c r="R2" s="23" t="s">
        <v>200</v>
      </c>
      <c r="S2" s="23" t="s">
        <v>131</v>
      </c>
      <c r="AA2" s="58" t="str">
        <f>"Forecasts and " &amp; TEXT($I$10, "0.0%") &amp; " confidence limits for means and forecasts
Model 4.0 for Y    (3 variables, no constant, n=245)"</f>
        <v>Forecasts and 95.0% confidence limits for means and forecasts
Model 4.0 for Y    (3 variables, no constant, n=245)</v>
      </c>
    </row>
    <row r="3" spans="1:78" ht="11.25" hidden="1" customHeight="1" outlineLevel="1" x14ac:dyDescent="0.2">
      <c r="A3" s="22" t="s">
        <v>52</v>
      </c>
      <c r="AA3" s="58" t="str">
        <f>IF($A$34 &lt;&gt; "","Actual and Predicted -vs- Observation # with " &amp; TEXT($I$10, "0.0%") &amp; " confidence limits
Model 4.0 for Y    (3 variables, no constant, n=245)","Actual and Predicted -vs- Observation #
Model 4.0 for Y    (3 variables, no constant, n=245)")</f>
        <v>Actual and Predicted -vs- Observation # with 95.0% confidence limits
Model 4.0 for Y    (3 variables, no constant, n=245)</v>
      </c>
    </row>
    <row r="4" spans="1:78" hidden="1" outlineLevel="1" x14ac:dyDescent="0.2">
      <c r="A4" s="21" t="s">
        <v>188</v>
      </c>
    </row>
    <row r="5" spans="1:78" hidden="1" outlineLevel="1" x14ac:dyDescent="0.2">
      <c r="A5" s="22" t="s">
        <v>54</v>
      </c>
    </row>
    <row r="6" spans="1:78" hidden="1" outlineLevel="1" x14ac:dyDescent="0.2">
      <c r="A6" s="21" t="s">
        <v>189</v>
      </c>
    </row>
    <row r="7" spans="1:78" collapsed="1" x14ac:dyDescent="0.2">
      <c r="A7" s="47"/>
      <c r="J7" s="23" t="s">
        <v>133</v>
      </c>
      <c r="K7" s="23" t="s">
        <v>201</v>
      </c>
    </row>
    <row r="8" spans="1:78" hidden="1" x14ac:dyDescent="0.2">
      <c r="A8" s="25" t="s">
        <v>190</v>
      </c>
    </row>
    <row r="9" spans="1:78" ht="12" outlineLevel="1" thickBot="1" x14ac:dyDescent="0.25">
      <c r="A9" s="26"/>
      <c r="B9" s="31" t="s">
        <v>57</v>
      </c>
      <c r="C9" s="31" t="s">
        <v>58</v>
      </c>
      <c r="D9" s="31" t="s">
        <v>59</v>
      </c>
      <c r="E9" s="31" t="s">
        <v>191</v>
      </c>
      <c r="F9" s="31" t="s">
        <v>9</v>
      </c>
      <c r="G9" s="31" t="s">
        <v>61</v>
      </c>
      <c r="H9" s="31" t="str">
        <f>"t("&amp;TEXT((1-I10)/2,"0.00%") &amp; ",242)"</f>
        <v>t(2.50%,242)</v>
      </c>
      <c r="I9" s="31" t="s">
        <v>62</v>
      </c>
    </row>
    <row r="10" spans="1:78" outlineLevel="1" x14ac:dyDescent="0.2">
      <c r="B10" s="9">
        <f xml:space="preserve"> 1 - C24 / C25</f>
        <v>0.98827148129621822</v>
      </c>
      <c r="C10" s="9">
        <f>1-D10^2/E10^2</f>
        <v>0.98812608643625399</v>
      </c>
      <c r="D10" s="9">
        <f xml:space="preserve"> SQRT(D24)</f>
        <v>17.684244918414318</v>
      </c>
      <c r="E10" s="9">
        <f xml:space="preserve"> SQRT(C25 / B25)</f>
        <v>162.28918507354928</v>
      </c>
      <c r="F10" s="32">
        <v>245</v>
      </c>
      <c r="G10" s="32">
        <v>5</v>
      </c>
      <c r="H10" s="9">
        <f>TINV(1 - $I$10, F10 - 3)</f>
        <v>1.9698151341354435</v>
      </c>
      <c r="I10" s="34">
        <v>0.95</v>
      </c>
    </row>
    <row r="11" spans="1:78" outlineLevel="1" x14ac:dyDescent="0.2">
      <c r="A11" s="21" t="s">
        <v>192</v>
      </c>
    </row>
    <row r="12" spans="1:78" outlineLevel="1" x14ac:dyDescent="0.2">
      <c r="A12" s="21" t="s">
        <v>193</v>
      </c>
    </row>
    <row r="13" spans="1:78" x14ac:dyDescent="0.2">
      <c r="A13" s="47"/>
    </row>
    <row r="14" spans="1:78" hidden="1" x14ac:dyDescent="0.2">
      <c r="A14" s="25" t="s">
        <v>194</v>
      </c>
    </row>
    <row r="15" spans="1:78" ht="12" outlineLevel="1" thickBot="1" x14ac:dyDescent="0.25">
      <c r="A15" s="35" t="s">
        <v>64</v>
      </c>
      <c r="B15" s="28" t="s">
        <v>65</v>
      </c>
      <c r="C15" s="28" t="s">
        <v>66</v>
      </c>
      <c r="D15" s="67" t="s">
        <v>67</v>
      </c>
      <c r="E15" s="67" t="s">
        <v>68</v>
      </c>
      <c r="F15" s="28" t="str">
        <f>IF($I$10&gt;99%,("Lower"&amp;TEXT($I$10,"0.0%")),("Lower"&amp;TEXT($I$10,"0%")))</f>
        <v>Lower95%</v>
      </c>
      <c r="G15" s="28" t="str">
        <f>IF($I$10&gt;99%,("Upper"&amp;TEXT($I$10,"0.0%")),("Upper"&amp;TEXT($I$10,"0%")))</f>
        <v>Upper95%</v>
      </c>
      <c r="H15" s="68"/>
      <c r="I15" s="60"/>
    </row>
    <row r="16" spans="1:78" outlineLevel="1" x14ac:dyDescent="0.2">
      <c r="A16" s="36" t="s">
        <v>1</v>
      </c>
      <c r="B16" s="6">
        <v>1.8763340380746309</v>
      </c>
      <c r="C16" s="6">
        <v>8.9301394487231678E-2</v>
      </c>
      <c r="D16" s="66">
        <f>B16/ C16</f>
        <v>21.011251267111057</v>
      </c>
      <c r="E16" s="6">
        <f>TDIST(ABS(D16),$F$10 - 3,2)</f>
        <v>1.753561830043864E-56</v>
      </c>
      <c r="F16" s="6">
        <f>B16 - $H$10 * C16</f>
        <v>1.7004267997142826</v>
      </c>
      <c r="G16" s="6">
        <f>B16 + $H$10 * C16</f>
        <v>2.0522412764349793</v>
      </c>
      <c r="H16" s="9"/>
      <c r="I16" s="33"/>
    </row>
    <row r="17" spans="1:9" outlineLevel="1" x14ac:dyDescent="0.2">
      <c r="A17" s="36" t="s">
        <v>2</v>
      </c>
      <c r="B17" s="6">
        <v>-0.11577928277067767</v>
      </c>
      <c r="C17" s="6">
        <v>0.11266684740125422</v>
      </c>
      <c r="D17" s="66">
        <f t="shared" ref="D17:D18" si="0">B17/ C17</f>
        <v>-1.0276251216858741</v>
      </c>
      <c r="E17" s="6">
        <f t="shared" ref="E17:E18" si="1">TDIST(ABS(D17),$F$10 - 3,2)</f>
        <v>0.30515222728626618</v>
      </c>
      <c r="F17" s="6">
        <f t="shared" ref="F17:F18" si="2">B17 - $H$10 * C17</f>
        <v>-0.33771214389699677</v>
      </c>
      <c r="G17" s="6">
        <f t="shared" ref="G17:G18" si="3">B17 + $H$10 * C17</f>
        <v>0.10615357835564146</v>
      </c>
      <c r="H17" s="9"/>
      <c r="I17" s="33"/>
    </row>
    <row r="18" spans="1:9" outlineLevel="1" x14ac:dyDescent="0.2">
      <c r="A18" s="36" t="s">
        <v>3</v>
      </c>
      <c r="B18" s="6">
        <v>0.18145143249361972</v>
      </c>
      <c r="C18" s="37">
        <v>6.459594834102883E-3</v>
      </c>
      <c r="D18" s="66">
        <f t="shared" si="0"/>
        <v>28.09021883782281</v>
      </c>
      <c r="E18" s="6">
        <f t="shared" si="1"/>
        <v>3.9940092223220939E-78</v>
      </c>
      <c r="F18" s="6">
        <f t="shared" si="2"/>
        <v>0.16872722482902075</v>
      </c>
      <c r="G18" s="6">
        <f t="shared" si="3"/>
        <v>0.1941756401582187</v>
      </c>
      <c r="H18" s="9"/>
      <c r="I18" s="33"/>
    </row>
    <row r="19" spans="1:9" outlineLevel="1" x14ac:dyDescent="0.2"/>
    <row r="20" spans="1:9" x14ac:dyDescent="0.2">
      <c r="A20" s="47"/>
    </row>
    <row r="21" spans="1:9" hidden="1" x14ac:dyDescent="0.2">
      <c r="A21" s="25" t="s">
        <v>195</v>
      </c>
    </row>
    <row r="22" spans="1:9" ht="12" hidden="1" outlineLevel="1" thickBot="1" x14ac:dyDescent="0.25">
      <c r="A22" s="35" t="s">
        <v>74</v>
      </c>
      <c r="B22" s="28" t="s">
        <v>78</v>
      </c>
      <c r="C22" s="28" t="s">
        <v>79</v>
      </c>
      <c r="D22" s="28" t="s">
        <v>80</v>
      </c>
      <c r="E22" s="28" t="s">
        <v>81</v>
      </c>
      <c r="F22" s="28" t="s">
        <v>68</v>
      </c>
    </row>
    <row r="23" spans="1:9" hidden="1" outlineLevel="1" x14ac:dyDescent="0.2">
      <c r="A23" s="21" t="s">
        <v>75</v>
      </c>
      <c r="B23" s="30">
        <v>3</v>
      </c>
      <c r="C23" s="38">
        <f>C25 - C24</f>
        <v>6377074.7305630604</v>
      </c>
      <c r="D23" s="38">
        <f>C23/B23</f>
        <v>2125691.5768543533</v>
      </c>
      <c r="E23" s="29">
        <f>D23/D24</f>
        <v>6797.1555634037359</v>
      </c>
      <c r="F23" s="29">
        <f>FDIST(E23,3,242)</f>
        <v>2.958504213494635E-233</v>
      </c>
    </row>
    <row r="24" spans="1:9" hidden="1" outlineLevel="1" x14ac:dyDescent="0.2">
      <c r="A24" s="21" t="s">
        <v>76</v>
      </c>
      <c r="B24" s="30">
        <v>242</v>
      </c>
      <c r="C24" s="38">
        <v>75681.269436939954</v>
      </c>
      <c r="D24" s="29">
        <f>C24/B24</f>
        <v>312.73251833446261</v>
      </c>
    </row>
    <row r="25" spans="1:9" hidden="1" outlineLevel="1" x14ac:dyDescent="0.2">
      <c r="A25" s="21" t="s">
        <v>77</v>
      </c>
      <c r="B25" s="30">
        <f>B23 + B24</f>
        <v>245</v>
      </c>
      <c r="C25" s="38">
        <v>6452756</v>
      </c>
    </row>
    <row r="26" spans="1:9" collapsed="1" x14ac:dyDescent="0.2">
      <c r="A26" s="47"/>
    </row>
    <row r="27" spans="1:9" hidden="1" x14ac:dyDescent="0.2">
      <c r="A27" s="25" t="s">
        <v>196</v>
      </c>
    </row>
    <row r="28" spans="1:9" ht="12" outlineLevel="1" thickBot="1" x14ac:dyDescent="0.25">
      <c r="A28" s="26"/>
      <c r="B28" s="28" t="s">
        <v>86</v>
      </c>
      <c r="C28" s="28" t="s">
        <v>87</v>
      </c>
      <c r="D28" s="28" t="s">
        <v>88</v>
      </c>
      <c r="E28" s="28" t="s">
        <v>15</v>
      </c>
      <c r="F28" s="28" t="s">
        <v>16</v>
      </c>
      <c r="G28" s="31" t="s">
        <v>83</v>
      </c>
      <c r="H28" s="31" t="s">
        <v>90</v>
      </c>
      <c r="I28" s="60"/>
    </row>
    <row r="29" spans="1:9" outlineLevel="1" x14ac:dyDescent="0.2">
      <c r="A29" s="21" t="s">
        <v>85</v>
      </c>
      <c r="B29" s="6">
        <v>2.4868197860336836</v>
      </c>
      <c r="C29" s="6">
        <v>17.575640544769303</v>
      </c>
      <c r="D29" s="6">
        <v>13.584234765240609</v>
      </c>
      <c r="E29" s="6">
        <v>-59.830188766468865</v>
      </c>
      <c r="F29" s="6">
        <v>66.006899032351015</v>
      </c>
      <c r="G29" s="34">
        <v>8.5027441807602591E-2</v>
      </c>
      <c r="H29" s="33" t="s">
        <v>197</v>
      </c>
      <c r="I29" s="33"/>
    </row>
    <row r="30" spans="1:9" outlineLevel="1" x14ac:dyDescent="0.2"/>
    <row r="31" spans="1:9" x14ac:dyDescent="0.2">
      <c r="A31" s="47"/>
    </row>
    <row r="32" spans="1:9" hidden="1" x14ac:dyDescent="0.2">
      <c r="A32" s="25" t="s">
        <v>198</v>
      </c>
    </row>
    <row r="33" spans="1:85" ht="12" outlineLevel="1" thickBot="1" x14ac:dyDescent="0.25">
      <c r="A33" s="28" t="s">
        <v>150</v>
      </c>
      <c r="B33" s="28" t="s">
        <v>151</v>
      </c>
      <c r="C33" s="28" t="s">
        <v>152</v>
      </c>
      <c r="D33" s="28" t="str">
        <f>IF($I$10&gt;99%,("Low"&amp;TEXT($I$10,"0.0%")&amp;"F"),("Lower"&amp;TEXT($I$10,"0%")&amp;"F"))</f>
        <v>Lower95%F</v>
      </c>
      <c r="E33" s="28" t="str">
        <f>IF($I$10&gt;99%,("Up"&amp;TEXT($I$10,"0.0%")&amp;"F"),("Upper"&amp;TEXT($I$10,"0%")&amp;"F"))</f>
        <v>Upper95%F</v>
      </c>
      <c r="F33" s="28" t="s">
        <v>153</v>
      </c>
      <c r="G33" s="28" t="str">
        <f>IF($I$10&gt;99%,("Low"&amp;TEXT($I$10,"0.0%")&amp;"M"),("Lower"&amp;TEXT($I$10,"0%")&amp;"M"))</f>
        <v>Lower95%M</v>
      </c>
      <c r="H33" s="28" t="str">
        <f>IF($I$10&gt;99%,("Up"&amp;TEXT($I$10,"0.0%")&amp;"M"),("Upper"&amp;TEXT($I$10,"0%")&amp;"M"))</f>
        <v>Upper95%M</v>
      </c>
      <c r="I33" s="35" t="s">
        <v>154</v>
      </c>
      <c r="J33" s="35" t="s">
        <v>179</v>
      </c>
      <c r="K33" s="35" t="s">
        <v>180</v>
      </c>
    </row>
    <row r="34" spans="1:85" outlineLevel="1" x14ac:dyDescent="0.2">
      <c r="A34" s="30">
        <v>246</v>
      </c>
      <c r="B34" s="29">
        <v>175.20387565683458</v>
      </c>
      <c r="C34" s="29">
        <v>17.864616139928309</v>
      </c>
      <c r="D34" s="29">
        <f xml:space="preserve"> B34 - $H$10 * C34</f>
        <v>140.01388441888349</v>
      </c>
      <c r="E34" s="29">
        <f xml:space="preserve"> B34 + $H$10 * C34</f>
        <v>210.39386689478567</v>
      </c>
      <c r="F34" s="29">
        <v>2.5321910458186814</v>
      </c>
      <c r="G34" s="29">
        <f xml:space="preserve"> B34 - $H$10 * F34</f>
        <v>170.21592741225868</v>
      </c>
      <c r="H34" s="29">
        <f xml:space="preserve"> B34 + $H$10 * F34</f>
        <v>180.19182390141049</v>
      </c>
      <c r="I34" s="61">
        <v>41</v>
      </c>
      <c r="J34" s="61">
        <v>21</v>
      </c>
      <c r="K34" s="61">
        <v>555</v>
      </c>
      <c r="L34" s="61"/>
      <c r="CG34" s="21">
        <f xml:space="preserve"> $C$34 * $H$10</f>
        <v>35.189991237951091</v>
      </c>
    </row>
    <row r="35" spans="1:85" outlineLevel="1" x14ac:dyDescent="0.2">
      <c r="A35" s="30">
        <v>247</v>
      </c>
      <c r="B35" s="29">
        <v>161.87164023401854</v>
      </c>
      <c r="C35" s="29">
        <v>17.739277299660113</v>
      </c>
      <c r="D35" s="29">
        <f xml:space="preserve"> B35 - $H$10 * C35</f>
        <v>126.92854334052274</v>
      </c>
      <c r="E35" s="29">
        <f xml:space="preserve"> B35 + $H$10 * C35</f>
        <v>196.81473712751435</v>
      </c>
      <c r="F35" s="29">
        <v>1.3962237570582754</v>
      </c>
      <c r="G35" s="29">
        <f xml:space="preserve"> B35 - $H$10 * F35</f>
        <v>159.1213375467257</v>
      </c>
      <c r="H35" s="29">
        <f xml:space="preserve"> B35 + $H$10 * F35</f>
        <v>164.62194292131139</v>
      </c>
      <c r="I35" s="61">
        <v>36</v>
      </c>
      <c r="J35" s="61">
        <v>-6</v>
      </c>
      <c r="K35" s="61">
        <v>516</v>
      </c>
      <c r="L35" s="61"/>
      <c r="CG35" s="21">
        <f xml:space="preserve"> $C$35 * $H$10</f>
        <v>34.943096893495813</v>
      </c>
    </row>
    <row r="36" spans="1:85" outlineLevel="1" x14ac:dyDescent="0.2">
      <c r="A36" s="30">
        <v>248</v>
      </c>
      <c r="B36" s="29">
        <v>161.47804768924331</v>
      </c>
      <c r="C36" s="29">
        <v>17.722681736100565</v>
      </c>
      <c r="D36" s="29">
        <f xml:space="preserve"> B36 - $H$10 * C36</f>
        <v>126.5676409880066</v>
      </c>
      <c r="E36" s="29">
        <f xml:space="preserve"> B36 + $H$10 * C36</f>
        <v>196.38845439048004</v>
      </c>
      <c r="F36" s="29">
        <v>1.1665888670178444</v>
      </c>
      <c r="G36" s="29">
        <f xml:space="preserve"> B36 - $H$10 * F36</f>
        <v>159.18008328367765</v>
      </c>
      <c r="H36" s="29">
        <f xml:space="preserve"> B36 + $H$10 * F36</f>
        <v>163.77601209480898</v>
      </c>
      <c r="I36" s="61">
        <v>35</v>
      </c>
      <c r="J36" s="61">
        <v>0</v>
      </c>
      <c r="K36" s="61">
        <v>528</v>
      </c>
      <c r="L36" s="61"/>
      <c r="CG36" s="21">
        <f xml:space="preserve"> $C$36 * $H$10</f>
        <v>34.91040670123671</v>
      </c>
    </row>
    <row r="37" spans="1:85" outlineLevel="1" x14ac:dyDescent="0.2">
      <c r="A37" s="30">
        <v>249</v>
      </c>
      <c r="B37" s="29">
        <v>158.5791430169414</v>
      </c>
      <c r="C37" s="29">
        <v>17.790808262895759</v>
      </c>
      <c r="D37" s="29">
        <f xml:space="preserve"> B37 - $H$10 * C37</f>
        <v>123.53453965218743</v>
      </c>
      <c r="E37" s="29">
        <f xml:space="preserve"> B37 + $H$10 * C37</f>
        <v>193.62374638169536</v>
      </c>
      <c r="F37" s="29">
        <v>1.9443097265243794</v>
      </c>
      <c r="G37" s="29">
        <f xml:space="preserve"> B37 - $H$10 * F37</f>
        <v>154.74921229218694</v>
      </c>
      <c r="H37" s="29">
        <f xml:space="preserve"> B37 + $H$10 * F37</f>
        <v>162.40907374169586</v>
      </c>
      <c r="I37" s="61">
        <v>46</v>
      </c>
      <c r="J37" s="61">
        <v>-2</v>
      </c>
      <c r="K37" s="61">
        <v>397</v>
      </c>
      <c r="L37" s="61"/>
      <c r="CG37" s="21">
        <f xml:space="preserve"> $C$37 * $H$10</f>
        <v>35.044603364753968</v>
      </c>
    </row>
    <row r="38" spans="1:85" outlineLevel="1" x14ac:dyDescent="0.2">
      <c r="A38" s="30">
        <v>250</v>
      </c>
      <c r="B38" s="29">
        <v>130.18002942722399</v>
      </c>
      <c r="C38" s="29">
        <v>17.84453774670288</v>
      </c>
      <c r="D38" s="29">
        <f xml:space="preserve"> B38 - $H$10 * C38</f>
        <v>95.029588912117475</v>
      </c>
      <c r="E38" s="29">
        <f xml:space="preserve"> B38 + $H$10 * C38</f>
        <v>165.3304699423305</v>
      </c>
      <c r="F38" s="29">
        <v>2.3864218107956621</v>
      </c>
      <c r="G38" s="29">
        <f xml:space="preserve"> B38 - $H$10 * F38</f>
        <v>125.47921962788779</v>
      </c>
      <c r="H38" s="29">
        <f xml:space="preserve"> B38 + $H$10 * F38</f>
        <v>134.8808392265602</v>
      </c>
      <c r="I38" s="61">
        <v>27</v>
      </c>
      <c r="J38" s="61">
        <v>20</v>
      </c>
      <c r="K38" s="61">
        <v>451</v>
      </c>
      <c r="L38" s="61"/>
      <c r="CG38" s="21">
        <f xml:space="preserve"> $C$38 * $H$10</f>
        <v>35.150440515106517</v>
      </c>
    </row>
    <row r="39" spans="1:85" outlineLevel="1" x14ac:dyDescent="0.2">
      <c r="A39" s="23" t="s">
        <v>39</v>
      </c>
      <c r="I39" s="61"/>
      <c r="J39" s="61"/>
      <c r="K39" s="61"/>
      <c r="L39" s="61"/>
    </row>
    <row r="40" spans="1:85" outlineLevel="1" x14ac:dyDescent="0.2"/>
    <row r="41" spans="1:85" outlineLevel="1" x14ac:dyDescent="0.2"/>
    <row r="42" spans="1:85" outlineLevel="1" x14ac:dyDescent="0.2"/>
    <row r="43" spans="1:85" outlineLevel="1" x14ac:dyDescent="0.2"/>
    <row r="44" spans="1:85" outlineLevel="1" x14ac:dyDescent="0.2"/>
    <row r="45" spans="1:85" outlineLevel="1" x14ac:dyDescent="0.2"/>
    <row r="46" spans="1:85" outlineLevel="1" x14ac:dyDescent="0.2"/>
    <row r="47" spans="1:85" outlineLevel="1" x14ac:dyDescent="0.2"/>
    <row r="48" spans="1:85" outlineLevel="1" x14ac:dyDescent="0.2"/>
    <row r="49" spans="1:1" outlineLevel="1" x14ac:dyDescent="0.2"/>
    <row r="50" spans="1:1" outlineLevel="1" x14ac:dyDescent="0.2"/>
    <row r="51" spans="1:1" outlineLevel="1" x14ac:dyDescent="0.2"/>
    <row r="52" spans="1:1" outlineLevel="1" x14ac:dyDescent="0.2"/>
    <row r="53" spans="1:1" outlineLevel="1" x14ac:dyDescent="0.2"/>
    <row r="54" spans="1:1" outlineLevel="1" x14ac:dyDescent="0.2"/>
    <row r="55" spans="1:1" outlineLevel="1" x14ac:dyDescent="0.2"/>
    <row r="56" spans="1:1" outlineLevel="1" x14ac:dyDescent="0.2"/>
    <row r="57" spans="1:1" outlineLevel="1" x14ac:dyDescent="0.2"/>
    <row r="58" spans="1:1" outlineLevel="1" x14ac:dyDescent="0.2"/>
    <row r="59" spans="1:1" outlineLevel="1" x14ac:dyDescent="0.2"/>
    <row r="60" spans="1:1" outlineLevel="1" x14ac:dyDescent="0.2"/>
    <row r="61" spans="1:1" x14ac:dyDescent="0.2">
      <c r="A61" s="65"/>
    </row>
    <row r="62" spans="1:1" hidden="1" x14ac:dyDescent="0.2">
      <c r="A62" s="25" t="s">
        <v>155</v>
      </c>
    </row>
    <row r="63" spans="1:1" outlineLevel="1" x14ac:dyDescent="0.2"/>
    <row r="64" spans="1:1" outlineLevel="1" x14ac:dyDescent="0.2"/>
    <row r="65" spans="3:3" outlineLevel="1" x14ac:dyDescent="0.2">
      <c r="C65" s="39" t="b">
        <v>0</v>
      </c>
    </row>
    <row r="66" spans="3:3" outlineLevel="1" x14ac:dyDescent="0.2"/>
    <row r="67" spans="3:3" outlineLevel="1" x14ac:dyDescent="0.2"/>
    <row r="68" spans="3:3" outlineLevel="1" x14ac:dyDescent="0.2"/>
    <row r="69" spans="3:3" outlineLevel="1" x14ac:dyDescent="0.2"/>
    <row r="70" spans="3:3" outlineLevel="1" x14ac:dyDescent="0.2"/>
    <row r="71" spans="3:3" outlineLevel="1" x14ac:dyDescent="0.2"/>
    <row r="72" spans="3:3" outlineLevel="1" x14ac:dyDescent="0.2"/>
    <row r="73" spans="3:3" outlineLevel="1" x14ac:dyDescent="0.2"/>
    <row r="74" spans="3:3" outlineLevel="1" x14ac:dyDescent="0.2"/>
    <row r="75" spans="3:3" outlineLevel="1" x14ac:dyDescent="0.2"/>
    <row r="76" spans="3:3" outlineLevel="1" x14ac:dyDescent="0.2"/>
    <row r="77" spans="3:3" outlineLevel="1" x14ac:dyDescent="0.2"/>
    <row r="78" spans="3:3" outlineLevel="1" x14ac:dyDescent="0.2"/>
    <row r="79" spans="3:3" outlineLevel="1" x14ac:dyDescent="0.2"/>
    <row r="80" spans="3:3" outlineLevel="1" x14ac:dyDescent="0.2"/>
    <row r="81" spans="1:1" outlineLevel="1" x14ac:dyDescent="0.2"/>
    <row r="82" spans="1:1" outlineLevel="1" x14ac:dyDescent="0.2"/>
    <row r="83" spans="1:1" x14ac:dyDescent="0.2">
      <c r="A83" s="65"/>
    </row>
    <row r="84" spans="1:1" hidden="1" x14ac:dyDescent="0.2">
      <c r="A84" s="25" t="s">
        <v>156</v>
      </c>
    </row>
    <row r="85" spans="1:1" outlineLevel="1" x14ac:dyDescent="0.2"/>
    <row r="86" spans="1:1" outlineLevel="1" x14ac:dyDescent="0.2"/>
    <row r="87" spans="1:1" outlineLevel="1" x14ac:dyDescent="0.2"/>
    <row r="88" spans="1:1" outlineLevel="1" x14ac:dyDescent="0.2"/>
    <row r="89" spans="1:1" outlineLevel="1" x14ac:dyDescent="0.2"/>
    <row r="90" spans="1:1" outlineLevel="1" x14ac:dyDescent="0.2"/>
    <row r="91" spans="1:1" outlineLevel="1" x14ac:dyDescent="0.2"/>
    <row r="92" spans="1:1" outlineLevel="1" x14ac:dyDescent="0.2"/>
    <row r="93" spans="1:1" outlineLevel="1" x14ac:dyDescent="0.2"/>
    <row r="94" spans="1:1" outlineLevel="1" x14ac:dyDescent="0.2"/>
    <row r="95" spans="1:1" outlineLevel="1" x14ac:dyDescent="0.2"/>
    <row r="96" spans="1:1" outlineLevel="1" x14ac:dyDescent="0.2"/>
    <row r="97" spans="1:1" outlineLevel="1" x14ac:dyDescent="0.2"/>
    <row r="98" spans="1:1" outlineLevel="1" x14ac:dyDescent="0.2"/>
    <row r="99" spans="1:1" outlineLevel="1" x14ac:dyDescent="0.2"/>
    <row r="100" spans="1:1" outlineLevel="1" x14ac:dyDescent="0.2"/>
    <row r="101" spans="1:1" outlineLevel="1" x14ac:dyDescent="0.2"/>
    <row r="102" spans="1:1" outlineLevel="1" x14ac:dyDescent="0.2"/>
    <row r="103" spans="1:1" outlineLevel="1" x14ac:dyDescent="0.2"/>
    <row r="104" spans="1:1" outlineLevel="1" x14ac:dyDescent="0.2"/>
    <row r="105" spans="1:1" x14ac:dyDescent="0.2">
      <c r="A105" s="65"/>
    </row>
    <row r="106" spans="1:1" hidden="1" x14ac:dyDescent="0.2">
      <c r="A106" s="25" t="s">
        <v>157</v>
      </c>
    </row>
    <row r="107" spans="1:1" outlineLevel="1" x14ac:dyDescent="0.2"/>
    <row r="108" spans="1:1" outlineLevel="1" x14ac:dyDescent="0.2"/>
    <row r="109" spans="1:1" outlineLevel="1" x14ac:dyDescent="0.2"/>
    <row r="110" spans="1:1" outlineLevel="1" x14ac:dyDescent="0.2"/>
    <row r="111" spans="1:1" outlineLevel="1" x14ac:dyDescent="0.2"/>
    <row r="112" spans="1:1" outlineLevel="1" x14ac:dyDescent="0.2"/>
    <row r="113" spans="1:1" outlineLevel="1" x14ac:dyDescent="0.2"/>
    <row r="114" spans="1:1" outlineLevel="1" x14ac:dyDescent="0.2"/>
    <row r="115" spans="1:1" outlineLevel="1" x14ac:dyDescent="0.2"/>
    <row r="116" spans="1:1" outlineLevel="1" x14ac:dyDescent="0.2"/>
    <row r="117" spans="1:1" outlineLevel="1" x14ac:dyDescent="0.2"/>
    <row r="118" spans="1:1" outlineLevel="1" x14ac:dyDescent="0.2"/>
    <row r="119" spans="1:1" outlineLevel="1" x14ac:dyDescent="0.2"/>
    <row r="120" spans="1:1" outlineLevel="1" x14ac:dyDescent="0.2"/>
    <row r="121" spans="1:1" outlineLevel="1" x14ac:dyDescent="0.2"/>
    <row r="122" spans="1:1" outlineLevel="1" x14ac:dyDescent="0.2"/>
    <row r="123" spans="1:1" outlineLevel="1" x14ac:dyDescent="0.2"/>
    <row r="124" spans="1:1" outlineLevel="1" x14ac:dyDescent="0.2"/>
    <row r="125" spans="1:1" outlineLevel="1" x14ac:dyDescent="0.2"/>
    <row r="126" spans="1:1" outlineLevel="1" x14ac:dyDescent="0.2"/>
    <row r="127" spans="1:1" x14ac:dyDescent="0.2">
      <c r="A127" s="65"/>
    </row>
    <row r="128" spans="1:1" hidden="1" x14ac:dyDescent="0.2">
      <c r="A128" s="25" t="s">
        <v>158</v>
      </c>
    </row>
    <row r="129" spans="1:1" outlineLevel="1" x14ac:dyDescent="0.2"/>
    <row r="130" spans="1:1" outlineLevel="1" x14ac:dyDescent="0.2"/>
    <row r="131" spans="1:1" outlineLevel="1" x14ac:dyDescent="0.2"/>
    <row r="132" spans="1:1" outlineLevel="1" x14ac:dyDescent="0.2"/>
    <row r="133" spans="1:1" outlineLevel="1" x14ac:dyDescent="0.2"/>
    <row r="134" spans="1:1" outlineLevel="1" x14ac:dyDescent="0.2"/>
    <row r="135" spans="1:1" outlineLevel="1" x14ac:dyDescent="0.2"/>
    <row r="136" spans="1:1" outlineLevel="1" x14ac:dyDescent="0.2"/>
    <row r="137" spans="1:1" outlineLevel="1" x14ac:dyDescent="0.2"/>
    <row r="138" spans="1:1" outlineLevel="1" x14ac:dyDescent="0.2"/>
    <row r="139" spans="1:1" outlineLevel="1" x14ac:dyDescent="0.2"/>
    <row r="140" spans="1:1" outlineLevel="1" x14ac:dyDescent="0.2"/>
    <row r="141" spans="1:1" outlineLevel="1" x14ac:dyDescent="0.2"/>
    <row r="142" spans="1:1" outlineLevel="1" x14ac:dyDescent="0.2"/>
    <row r="143" spans="1:1" outlineLevel="1" x14ac:dyDescent="0.2"/>
    <row r="144" spans="1:1" outlineLevel="1" x14ac:dyDescent="0.2"/>
    <row r="145" spans="1:1" outlineLevel="1" x14ac:dyDescent="0.2"/>
    <row r="146" spans="1:1" outlineLevel="1" x14ac:dyDescent="0.2"/>
    <row r="147" spans="1:1" outlineLevel="1" x14ac:dyDescent="0.2"/>
    <row r="148" spans="1:1" outlineLevel="1" x14ac:dyDescent="0.2"/>
    <row r="149" spans="1:1" x14ac:dyDescent="0.2">
      <c r="A149" s="65"/>
    </row>
    <row r="150" spans="1:1" hidden="1" x14ac:dyDescent="0.2">
      <c r="A150" s="25" t="s">
        <v>159</v>
      </c>
    </row>
    <row r="151" spans="1:1" outlineLevel="1" x14ac:dyDescent="0.2"/>
    <row r="152" spans="1:1" outlineLevel="1" x14ac:dyDescent="0.2"/>
    <row r="153" spans="1:1" outlineLevel="1" x14ac:dyDescent="0.2"/>
    <row r="154" spans="1:1" outlineLevel="1" x14ac:dyDescent="0.2"/>
    <row r="155" spans="1:1" outlineLevel="1" x14ac:dyDescent="0.2"/>
    <row r="156" spans="1:1" outlineLevel="1" x14ac:dyDescent="0.2"/>
    <row r="157" spans="1:1" outlineLevel="1" x14ac:dyDescent="0.2"/>
    <row r="158" spans="1:1" outlineLevel="1" x14ac:dyDescent="0.2"/>
    <row r="159" spans="1:1" outlineLevel="1" x14ac:dyDescent="0.2"/>
    <row r="160" spans="1:1" outlineLevel="1" x14ac:dyDescent="0.2"/>
    <row r="161" spans="1:1" outlineLevel="1" x14ac:dyDescent="0.2"/>
    <row r="162" spans="1:1" outlineLevel="1" x14ac:dyDescent="0.2"/>
    <row r="163" spans="1:1" outlineLevel="1" x14ac:dyDescent="0.2"/>
    <row r="164" spans="1:1" outlineLevel="1" x14ac:dyDescent="0.2"/>
    <row r="165" spans="1:1" outlineLevel="1" x14ac:dyDescent="0.2"/>
    <row r="166" spans="1:1" outlineLevel="1" x14ac:dyDescent="0.2"/>
    <row r="167" spans="1:1" outlineLevel="1" x14ac:dyDescent="0.2"/>
    <row r="168" spans="1:1" outlineLevel="1" x14ac:dyDescent="0.2"/>
    <row r="169" spans="1:1" outlineLevel="1" x14ac:dyDescent="0.2"/>
    <row r="170" spans="1:1" outlineLevel="1" x14ac:dyDescent="0.2"/>
    <row r="171" spans="1:1" x14ac:dyDescent="0.2">
      <c r="A171" s="65"/>
    </row>
    <row r="174" spans="1:1" x14ac:dyDescent="0.2">
      <c r="A174" s="23" t="s">
        <v>32</v>
      </c>
    </row>
  </sheetData>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U25"/>
  <sheetViews>
    <sheetView showGridLines="0" showRowColHeaders="0" zoomScaleNormal="100" workbookViewId="0">
      <pane xSplit="1" topLeftCell="B1" activePane="topRight" state="frozenSplit"/>
      <selection pane="topRight"/>
    </sheetView>
  </sheetViews>
  <sheetFormatPr defaultRowHeight="11.25" outlineLevelRow="1" x14ac:dyDescent="0.2"/>
  <cols>
    <col min="1" max="1" width="32.5703125" style="43" bestFit="1" customWidth="1"/>
    <col min="2" max="5" width="19.28515625" style="43" customWidth="1"/>
    <col min="6" max="16384" width="9.140625" style="43"/>
  </cols>
  <sheetData>
    <row r="1" spans="1:21" x14ac:dyDescent="0.2">
      <c r="A1" s="48" t="s">
        <v>105</v>
      </c>
      <c r="M1" s="52" t="s">
        <v>129</v>
      </c>
      <c r="N1" s="52" t="s">
        <v>205</v>
      </c>
      <c r="U1" s="52" t="s">
        <v>204</v>
      </c>
    </row>
    <row r="2" spans="1:21" x14ac:dyDescent="0.2">
      <c r="B2" s="52" t="s">
        <v>118</v>
      </c>
      <c r="C2" s="52" t="s">
        <v>160</v>
      </c>
      <c r="D2" s="52" t="s">
        <v>181</v>
      </c>
      <c r="E2" s="52" t="s">
        <v>199</v>
      </c>
    </row>
    <row r="3" spans="1:21" x14ac:dyDescent="0.2">
      <c r="A3" s="50" t="s">
        <v>106</v>
      </c>
      <c r="B3" s="49" t="s">
        <v>48</v>
      </c>
      <c r="C3" s="49" t="s">
        <v>137</v>
      </c>
      <c r="D3" s="49" t="s">
        <v>168</v>
      </c>
      <c r="E3" s="49" t="s">
        <v>186</v>
      </c>
    </row>
    <row r="4" spans="1:21" x14ac:dyDescent="0.2">
      <c r="A4" s="51" t="s">
        <v>107</v>
      </c>
      <c r="B4" s="53">
        <v>43146.567060185182</v>
      </c>
      <c r="C4" s="53">
        <v>43146.56759259259</v>
      </c>
      <c r="D4" s="53">
        <v>43146.568437499998</v>
      </c>
      <c r="E4" s="53">
        <v>43146.568923611114</v>
      </c>
    </row>
    <row r="5" spans="1:21" x14ac:dyDescent="0.2">
      <c r="A5" s="51" t="s">
        <v>9</v>
      </c>
      <c r="B5" s="54">
        <v>245</v>
      </c>
      <c r="C5" s="54">
        <v>245</v>
      </c>
      <c r="D5" s="54">
        <v>245</v>
      </c>
      <c r="E5" s="54">
        <v>245</v>
      </c>
    </row>
    <row r="6" spans="1:21" x14ac:dyDescent="0.2">
      <c r="A6" s="51" t="s">
        <v>10</v>
      </c>
      <c r="B6" s="43">
        <v>161.771428571429</v>
      </c>
      <c r="C6" s="43">
        <v>161.771428571429</v>
      </c>
      <c r="D6" s="43">
        <v>161.771428571429</v>
      </c>
      <c r="E6" s="43">
        <v>161.771428571429</v>
      </c>
    </row>
    <row r="7" spans="1:21" x14ac:dyDescent="0.2">
      <c r="A7" s="51" t="s">
        <v>108</v>
      </c>
      <c r="B7" s="43">
        <v>12.979681473269709</v>
      </c>
      <c r="C7" s="43">
        <v>12.979681473269709</v>
      </c>
      <c r="D7" s="43">
        <v>12.979681473269709</v>
      </c>
      <c r="E7" s="43">
        <v>162.28918507354928</v>
      </c>
    </row>
    <row r="8" spans="1:21" x14ac:dyDescent="0.2">
      <c r="A8" s="51" t="s">
        <v>109</v>
      </c>
      <c r="B8" s="54">
        <v>4</v>
      </c>
      <c r="C8" s="62">
        <v>1</v>
      </c>
      <c r="D8" s="62">
        <v>3</v>
      </c>
      <c r="E8" s="62">
        <v>3</v>
      </c>
      <c r="F8" s="56"/>
    </row>
    <row r="9" spans="1:21" ht="12.75" x14ac:dyDescent="0.25">
      <c r="A9" s="51" t="s">
        <v>110</v>
      </c>
      <c r="B9" s="75">
        <v>7.4811397654404148</v>
      </c>
      <c r="C9" s="75">
        <v>9.2437546130642154</v>
      </c>
      <c r="D9" s="75">
        <v>7.5511512357090416</v>
      </c>
      <c r="E9" s="75">
        <v>17.684244918414318</v>
      </c>
      <c r="F9" s="56"/>
    </row>
    <row r="10" spans="1:21" x14ac:dyDescent="0.2">
      <c r="A10" s="51" t="s">
        <v>111</v>
      </c>
      <c r="B10" s="43">
        <v>0.67324000356110525</v>
      </c>
      <c r="C10" s="56">
        <v>0.49489089888849946</v>
      </c>
      <c r="D10" s="56">
        <v>0.66570838487475181</v>
      </c>
      <c r="E10" s="56">
        <v>0.98827148129621822</v>
      </c>
      <c r="F10" s="56"/>
    </row>
    <row r="11" spans="1:21" ht="12.75" x14ac:dyDescent="0.25">
      <c r="A11" s="51" t="s">
        <v>112</v>
      </c>
      <c r="B11" s="75">
        <v>0.66779400362045704</v>
      </c>
      <c r="C11" s="75">
        <v>0.49281226061232042</v>
      </c>
      <c r="D11" s="75">
        <v>0.66154707846240435</v>
      </c>
      <c r="E11" s="75">
        <v>0.98812608643625399</v>
      </c>
      <c r="F11" s="56"/>
    </row>
    <row r="12" spans="1:21" outlineLevel="1" x14ac:dyDescent="0.2">
      <c r="A12" s="51" t="s">
        <v>113</v>
      </c>
      <c r="B12" s="6">
        <v>6.0628661527359125</v>
      </c>
      <c r="C12" s="63">
        <v>6.263459683366416</v>
      </c>
      <c r="D12" s="63">
        <v>6.0766124273989428</v>
      </c>
      <c r="E12" s="63">
        <v>13.584234765240609</v>
      </c>
      <c r="F12" s="56"/>
    </row>
    <row r="13" spans="1:21" outlineLevel="1" x14ac:dyDescent="0.2">
      <c r="A13" s="51" t="s">
        <v>114</v>
      </c>
      <c r="B13" s="55">
        <v>3.7756477018056886E-2</v>
      </c>
      <c r="C13" s="64">
        <v>3.9294888945211479E-2</v>
      </c>
      <c r="D13" s="64">
        <v>3.7829544485168426E-2</v>
      </c>
      <c r="E13" s="64">
        <v>8.5027441807602591E-2</v>
      </c>
      <c r="F13" s="56"/>
    </row>
    <row r="14" spans="1:21" outlineLevel="1" x14ac:dyDescent="0.2">
      <c r="A14" s="51" t="s">
        <v>115</v>
      </c>
      <c r="B14" s="43">
        <v>9.4194882774084459</v>
      </c>
      <c r="C14" s="56"/>
      <c r="D14" s="56">
        <v>1.005824041151075</v>
      </c>
      <c r="E14" s="56">
        <v>0</v>
      </c>
      <c r="F14" s="56"/>
    </row>
    <row r="15" spans="1:21" outlineLevel="1" x14ac:dyDescent="0.2">
      <c r="A15" s="51" t="s">
        <v>116</v>
      </c>
      <c r="B15" s="43" t="s">
        <v>119</v>
      </c>
      <c r="C15" s="56" t="s">
        <v>161</v>
      </c>
      <c r="D15" s="56" t="s">
        <v>119</v>
      </c>
      <c r="E15" s="56" t="s">
        <v>119</v>
      </c>
      <c r="F15" s="56"/>
    </row>
    <row r="16" spans="1:21" outlineLevel="1" x14ac:dyDescent="0.2">
      <c r="A16" s="51" t="s">
        <v>121</v>
      </c>
      <c r="B16" s="43" t="s">
        <v>120</v>
      </c>
      <c r="C16" s="56"/>
      <c r="D16" s="56"/>
      <c r="E16" s="56"/>
      <c r="F16" s="56"/>
    </row>
    <row r="17" spans="1:6" outlineLevel="1" x14ac:dyDescent="0.2">
      <c r="A17" s="51" t="s">
        <v>123</v>
      </c>
      <c r="B17" s="43" t="s">
        <v>122</v>
      </c>
      <c r="C17" s="56"/>
      <c r="D17" s="56"/>
      <c r="E17" s="56"/>
      <c r="F17" s="56"/>
    </row>
    <row r="19" spans="1:6" outlineLevel="1" x14ac:dyDescent="0.2">
      <c r="A19" s="51" t="s">
        <v>117</v>
      </c>
      <c r="B19" s="43" t="s">
        <v>48</v>
      </c>
      <c r="C19" s="56" t="s">
        <v>137</v>
      </c>
      <c r="D19" s="56" t="s">
        <v>168</v>
      </c>
      <c r="E19" s="56" t="s">
        <v>186</v>
      </c>
      <c r="F19" s="56"/>
    </row>
    <row r="20" spans="1:6" outlineLevel="1" x14ac:dyDescent="0.2">
      <c r="A20" s="51" t="s">
        <v>72</v>
      </c>
      <c r="B20" s="57" t="s">
        <v>124</v>
      </c>
      <c r="C20" s="57" t="s">
        <v>162</v>
      </c>
      <c r="D20" s="57" t="s">
        <v>174</v>
      </c>
      <c r="E20" s="63"/>
      <c r="F20" s="56"/>
    </row>
    <row r="21" spans="1:6" ht="12.75" outlineLevel="1" x14ac:dyDescent="0.25">
      <c r="A21" s="51" t="s">
        <v>1</v>
      </c>
      <c r="B21" s="76" t="s">
        <v>125</v>
      </c>
      <c r="C21" s="75" t="s">
        <v>163</v>
      </c>
      <c r="D21" s="77">
        <v>0.72974914370078048</v>
      </c>
      <c r="E21" s="77">
        <v>1.8763340380746309</v>
      </c>
      <c r="F21" s="56"/>
    </row>
    <row r="22" spans="1:6" outlineLevel="1" x14ac:dyDescent="0.2">
      <c r="A22" s="51" t="s">
        <v>2</v>
      </c>
      <c r="B22" s="57" t="s">
        <v>126</v>
      </c>
      <c r="C22" s="56"/>
      <c r="D22" s="66">
        <v>-6.0241532990979473E-2</v>
      </c>
      <c r="E22" s="66">
        <v>-0.11577928277067767</v>
      </c>
      <c r="F22" s="56"/>
    </row>
    <row r="23" spans="1:6" ht="12.75" outlineLevel="1" x14ac:dyDescent="0.25">
      <c r="A23" s="51" t="s">
        <v>3</v>
      </c>
      <c r="B23" s="75" t="s">
        <v>127</v>
      </c>
      <c r="C23" s="56"/>
      <c r="D23" s="77">
        <v>0.41068934068424334</v>
      </c>
      <c r="E23" s="77">
        <v>0.18145143249361972</v>
      </c>
      <c r="F23" s="56"/>
    </row>
    <row r="24" spans="1:6" outlineLevel="1" x14ac:dyDescent="0.2">
      <c r="A24" s="51" t="s">
        <v>4</v>
      </c>
      <c r="B24" s="57" t="s">
        <v>128</v>
      </c>
      <c r="C24" s="56"/>
      <c r="D24" s="56"/>
      <c r="E24" s="56"/>
      <c r="F24" s="56"/>
    </row>
    <row r="25" spans="1:6" outlineLevel="1" x14ac:dyDescent="0.2"/>
  </sheetData>
  <sortState ref="A25:U25">
    <sortCondition ref="A1"/>
  </sortState>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Sheet1</vt:lpstr>
      <vt:lpstr>Stats 1</vt:lpstr>
      <vt:lpstr>Stats 2</vt:lpstr>
      <vt:lpstr>Stats 3</vt:lpstr>
      <vt:lpstr>Model 1.0</vt:lpstr>
      <vt:lpstr>Model 2.0</vt:lpstr>
      <vt:lpstr>Model 3.0</vt:lpstr>
      <vt:lpstr>Model 4.0</vt:lpstr>
      <vt:lpstr>Model Summaries</vt:lpstr>
      <vt:lpstr>Date</vt:lpstr>
      <vt:lpstr>X_1</vt:lpstr>
      <vt:lpstr>X_2</vt:lpstr>
      <vt:lpstr>X_3</vt:lpstr>
      <vt:lpstr>X_4</vt:lpstr>
      <vt:lpstr>X_5</vt:lpstr>
      <vt:lpstr>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 Nau</dc:creator>
  <cp:lastModifiedBy>Bob Nau</cp:lastModifiedBy>
  <dcterms:created xsi:type="dcterms:W3CDTF">2018-02-15T18:29:15Z</dcterms:created>
  <dcterms:modified xsi:type="dcterms:W3CDTF">2018-03-05T20:15:22Z</dcterms:modified>
</cp:coreProperties>
</file>