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rnau\Documents\Dell M4800 new backup\1. RegressIt\00000. FINAL VERSIONS FOR WEB SITE\2. FINAL DATA\"/>
    </mc:Choice>
  </mc:AlternateContent>
  <xr:revisionPtr revIDLastSave="0" documentId="13_ncr:1_{FE29229E-250A-49F7-AD0D-BA1444F900ED}" xr6:coauthVersionLast="36" xr6:coauthVersionMax="36" xr10:uidLastSave="{00000000-0000-0000-0000-000000000000}"/>
  <bookViews>
    <workbookView xWindow="0" yWindow="0" windowWidth="21060" windowHeight="15120" activeTab="1" xr2:uid="{00000000-000D-0000-FFFF-FFFF00000000}"/>
  </bookViews>
  <sheets>
    <sheet name="Data" sheetId="1" r:id="rId1"/>
    <sheet name="Model 1" sheetId="3" r:id="rId2"/>
    <sheet name="Model Summaries" sheetId="10" r:id="rId3"/>
  </sheets>
  <definedNames>
    <definedName name="___autoF" localSheetId="1" hidden="1">1</definedName>
    <definedName name="___Coef___" localSheetId="1" hidden="1">1</definedName>
    <definedName name="___rsumm___Y__bin_" localSheetId="2" hidden="1">'Model Summaries'!$A$3</definedName>
    <definedName name="__nSelect_" hidden="1">0</definedName>
    <definedName name="ActiveRegModel" hidden="1">"Model 1"</definedName>
    <definedName name="FirstForecastRow" localSheetId="1" hidden="1">75</definedName>
    <definedName name="nRegMod" hidden="1">1</definedName>
    <definedName name="OKtoForecast" hidden="1">1</definedName>
    <definedName name="X_1">Data!$D$2:$D$201</definedName>
    <definedName name="X_2">Data!$E$2:$E$201</definedName>
    <definedName name="X_3">Data!$F$2:$F$201</definedName>
    <definedName name="Y">Data!$B$2:$B$201</definedName>
    <definedName name="Y_200">Data!$A$2:$A$201</definedName>
    <definedName name="Ytest">Data!$C$2:$C$201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7" i="3" l="1"/>
  <c r="AR271" i="3" s="1"/>
  <c r="F244" i="3"/>
  <c r="DT247" i="3" s="1"/>
  <c r="D34" i="3"/>
  <c r="C38" i="3" s="1"/>
  <c r="AK10" i="3"/>
  <c r="I11" i="3" s="1"/>
  <c r="AY271" i="3"/>
  <c r="CI271" i="3"/>
  <c r="CL271" i="3"/>
  <c r="CN271" i="3"/>
  <c r="CU271" i="3"/>
  <c r="CV271" i="3"/>
  <c r="EA271" i="3"/>
  <c r="EG247" i="3"/>
  <c r="EF247" i="3"/>
  <c r="BH247" i="3"/>
  <c r="CF247" i="3"/>
  <c r="BT247" i="3"/>
  <c r="AN247" i="3"/>
  <c r="AO247" i="3"/>
  <c r="AP247" i="3"/>
  <c r="AQ247" i="3"/>
  <c r="AR247" i="3"/>
  <c r="AS247" i="3"/>
  <c r="AT247" i="3"/>
  <c r="AU247" i="3"/>
  <c r="AV247" i="3"/>
  <c r="AW247" i="3"/>
  <c r="AX247" i="3"/>
  <c r="AY247" i="3"/>
  <c r="AZ247" i="3"/>
  <c r="BA247" i="3"/>
  <c r="BB247" i="3"/>
  <c r="BC247" i="3"/>
  <c r="BD247" i="3"/>
  <c r="BE247" i="3"/>
  <c r="BF247" i="3"/>
  <c r="BG247" i="3"/>
  <c r="BI247" i="3"/>
  <c r="BJ247" i="3"/>
  <c r="BK247" i="3"/>
  <c r="BL247" i="3"/>
  <c r="BM247" i="3"/>
  <c r="BN247" i="3"/>
  <c r="BO247" i="3"/>
  <c r="BP247" i="3"/>
  <c r="BQ247" i="3"/>
  <c r="BR247" i="3"/>
  <c r="BS247" i="3"/>
  <c r="BU247" i="3"/>
  <c r="BV247" i="3"/>
  <c r="BW247" i="3"/>
  <c r="BX247" i="3"/>
  <c r="BY247" i="3"/>
  <c r="BZ247" i="3"/>
  <c r="CA247" i="3"/>
  <c r="CB247" i="3"/>
  <c r="CC247" i="3"/>
  <c r="CD247" i="3"/>
  <c r="CE247" i="3"/>
  <c r="CG247" i="3"/>
  <c r="CH247" i="3"/>
  <c r="CI247" i="3"/>
  <c r="CJ247" i="3"/>
  <c r="CK247" i="3"/>
  <c r="CL247" i="3"/>
  <c r="CM247" i="3"/>
  <c r="CN247" i="3"/>
  <c r="CO247" i="3"/>
  <c r="CP247" i="3"/>
  <c r="CQ247" i="3"/>
  <c r="CR247" i="3"/>
  <c r="CS247" i="3"/>
  <c r="CT247" i="3"/>
  <c r="CU247" i="3"/>
  <c r="CV247" i="3"/>
  <c r="CW247" i="3"/>
  <c r="CX247" i="3"/>
  <c r="CY247" i="3"/>
  <c r="CZ247" i="3"/>
  <c r="DA247" i="3"/>
  <c r="DB247" i="3"/>
  <c r="DC247" i="3"/>
  <c r="DD247" i="3"/>
  <c r="DE247" i="3"/>
  <c r="DF247" i="3"/>
  <c r="DG247" i="3"/>
  <c r="DH247" i="3"/>
  <c r="DI247" i="3"/>
  <c r="DJ247" i="3"/>
  <c r="DK247" i="3"/>
  <c r="DL247" i="3"/>
  <c r="DM247" i="3"/>
  <c r="DN247" i="3"/>
  <c r="DO247" i="3"/>
  <c r="DP247" i="3"/>
  <c r="DQ247" i="3"/>
  <c r="DR247" i="3"/>
  <c r="DS247" i="3"/>
  <c r="DU247" i="3"/>
  <c r="DV247" i="3"/>
  <c r="DW247" i="3"/>
  <c r="DX247" i="3"/>
  <c r="DY247" i="3"/>
  <c r="DZ247" i="3"/>
  <c r="EA247" i="3"/>
  <c r="EB247" i="3"/>
  <c r="EC247" i="3"/>
  <c r="ED247" i="3"/>
  <c r="EE247" i="3"/>
  <c r="AM247" i="3"/>
  <c r="AL247" i="3"/>
  <c r="AK247" i="3"/>
  <c r="AJ247" i="3"/>
  <c r="AU292" i="3"/>
  <c r="AV292" i="3"/>
  <c r="AW292" i="3"/>
  <c r="AU293" i="3"/>
  <c r="AV293" i="3"/>
  <c r="AW293" i="3"/>
  <c r="AU294" i="3"/>
  <c r="AV294" i="3"/>
  <c r="AW294" i="3"/>
  <c r="AU295" i="3"/>
  <c r="AV295" i="3"/>
  <c r="AW295" i="3"/>
  <c r="AU296" i="3"/>
  <c r="AV296" i="3"/>
  <c r="AW296" i="3"/>
  <c r="AU297" i="3"/>
  <c r="AV297" i="3"/>
  <c r="AW297" i="3"/>
  <c r="AU298" i="3"/>
  <c r="AV298" i="3"/>
  <c r="AW298" i="3"/>
  <c r="AU299" i="3"/>
  <c r="AV299" i="3"/>
  <c r="AW299" i="3"/>
  <c r="AU300" i="3"/>
  <c r="AV300" i="3"/>
  <c r="AW300" i="3"/>
  <c r="AU301" i="3"/>
  <c r="AV301" i="3"/>
  <c r="AW301" i="3"/>
  <c r="AU302" i="3"/>
  <c r="AV302" i="3"/>
  <c r="AW302" i="3"/>
  <c r="AU303" i="3"/>
  <c r="AV303" i="3"/>
  <c r="AW303" i="3"/>
  <c r="AU304" i="3"/>
  <c r="AV304" i="3"/>
  <c r="AW304" i="3"/>
  <c r="AU305" i="3"/>
  <c r="AV305" i="3"/>
  <c r="AW305" i="3"/>
  <c r="AU306" i="3"/>
  <c r="AV306" i="3"/>
  <c r="AW306" i="3"/>
  <c r="AU307" i="3"/>
  <c r="AV307" i="3"/>
  <c r="AW307" i="3"/>
  <c r="AU308" i="3"/>
  <c r="AV308" i="3"/>
  <c r="AW308" i="3"/>
  <c r="AU309" i="3"/>
  <c r="AV309" i="3"/>
  <c r="AW309" i="3"/>
  <c r="AU310" i="3"/>
  <c r="AV310" i="3"/>
  <c r="AW310" i="3"/>
  <c r="AU311" i="3"/>
  <c r="AV311" i="3"/>
  <c r="AW311" i="3"/>
  <c r="AU312" i="3"/>
  <c r="AV312" i="3"/>
  <c r="AW312" i="3"/>
  <c r="AU313" i="3"/>
  <c r="AV313" i="3"/>
  <c r="AW313" i="3"/>
  <c r="AU314" i="3"/>
  <c r="AV314" i="3"/>
  <c r="AW314" i="3"/>
  <c r="AU315" i="3"/>
  <c r="AV315" i="3"/>
  <c r="AW315" i="3"/>
  <c r="AU316" i="3"/>
  <c r="AV316" i="3"/>
  <c r="AW316" i="3"/>
  <c r="AU317" i="3"/>
  <c r="AV317" i="3"/>
  <c r="AW317" i="3"/>
  <c r="AU318" i="3"/>
  <c r="AV318" i="3"/>
  <c r="AW318" i="3"/>
  <c r="AU319" i="3"/>
  <c r="AV319" i="3"/>
  <c r="AW319" i="3"/>
  <c r="AU320" i="3"/>
  <c r="AV320" i="3"/>
  <c r="AW320" i="3"/>
  <c r="AU321" i="3"/>
  <c r="AV321" i="3"/>
  <c r="AW321" i="3"/>
  <c r="AU322" i="3"/>
  <c r="AV322" i="3"/>
  <c r="AW322" i="3"/>
  <c r="AU323" i="3"/>
  <c r="AV323" i="3"/>
  <c r="AW323" i="3"/>
  <c r="AU324" i="3"/>
  <c r="AV324" i="3"/>
  <c r="AW324" i="3"/>
  <c r="AU325" i="3"/>
  <c r="AV325" i="3"/>
  <c r="AW325" i="3"/>
  <c r="AU326" i="3"/>
  <c r="AV326" i="3"/>
  <c r="AW326" i="3"/>
  <c r="AU327" i="3"/>
  <c r="AV327" i="3"/>
  <c r="AW327" i="3"/>
  <c r="AU328" i="3"/>
  <c r="AV328" i="3"/>
  <c r="AW328" i="3"/>
  <c r="AU329" i="3"/>
  <c r="AV329" i="3"/>
  <c r="AW329" i="3"/>
  <c r="AU330" i="3"/>
  <c r="AV330" i="3"/>
  <c r="AW330" i="3"/>
  <c r="AU331" i="3"/>
  <c r="AV331" i="3"/>
  <c r="AW331" i="3"/>
  <c r="AU332" i="3"/>
  <c r="AV332" i="3"/>
  <c r="AW332" i="3"/>
  <c r="AU333" i="3"/>
  <c r="AV333" i="3"/>
  <c r="AW333" i="3"/>
  <c r="AU334" i="3"/>
  <c r="AV334" i="3"/>
  <c r="AW334" i="3"/>
  <c r="AU335" i="3"/>
  <c r="AV335" i="3"/>
  <c r="AW335" i="3"/>
  <c r="AU336" i="3"/>
  <c r="AV336" i="3"/>
  <c r="AW336" i="3"/>
  <c r="AU337" i="3"/>
  <c r="AV337" i="3"/>
  <c r="AW337" i="3"/>
  <c r="AU338" i="3"/>
  <c r="AV338" i="3"/>
  <c r="AW338" i="3"/>
  <c r="AU339" i="3"/>
  <c r="AV339" i="3"/>
  <c r="AW339" i="3"/>
  <c r="AU340" i="3"/>
  <c r="AV340" i="3"/>
  <c r="AW340" i="3"/>
  <c r="AU341" i="3"/>
  <c r="AV341" i="3"/>
  <c r="AW341" i="3"/>
  <c r="AU342" i="3"/>
  <c r="AV342" i="3"/>
  <c r="AW342" i="3"/>
  <c r="AU343" i="3"/>
  <c r="AV343" i="3"/>
  <c r="AW343" i="3"/>
  <c r="AU344" i="3"/>
  <c r="AV344" i="3"/>
  <c r="AW344" i="3"/>
  <c r="AU345" i="3"/>
  <c r="AV345" i="3"/>
  <c r="AW345" i="3"/>
  <c r="AU346" i="3"/>
  <c r="AV346" i="3"/>
  <c r="AW346" i="3"/>
  <c r="AU347" i="3"/>
  <c r="AV347" i="3"/>
  <c r="AW347" i="3"/>
  <c r="AU348" i="3"/>
  <c r="AV348" i="3"/>
  <c r="AW348" i="3"/>
  <c r="AU349" i="3"/>
  <c r="AV349" i="3"/>
  <c r="AW349" i="3"/>
  <c r="AU350" i="3"/>
  <c r="AV350" i="3"/>
  <c r="AW350" i="3"/>
  <c r="AU351" i="3"/>
  <c r="AV351" i="3"/>
  <c r="AW351" i="3"/>
  <c r="AU352" i="3"/>
  <c r="AV352" i="3"/>
  <c r="AW352" i="3"/>
  <c r="AU353" i="3"/>
  <c r="AV353" i="3"/>
  <c r="AW353" i="3"/>
  <c r="AU354" i="3"/>
  <c r="AV354" i="3"/>
  <c r="AW354" i="3"/>
  <c r="AU355" i="3"/>
  <c r="AV355" i="3"/>
  <c r="AW355" i="3"/>
  <c r="AU356" i="3"/>
  <c r="AV356" i="3"/>
  <c r="AW356" i="3"/>
  <c r="AU357" i="3"/>
  <c r="AV357" i="3"/>
  <c r="AW357" i="3"/>
  <c r="AU358" i="3"/>
  <c r="AV358" i="3"/>
  <c r="AW358" i="3"/>
  <c r="AU359" i="3"/>
  <c r="AV359" i="3"/>
  <c r="AW359" i="3"/>
  <c r="AU360" i="3"/>
  <c r="AV360" i="3"/>
  <c r="AW360" i="3"/>
  <c r="AU361" i="3"/>
  <c r="AV361" i="3"/>
  <c r="AW361" i="3"/>
  <c r="AU362" i="3"/>
  <c r="AV362" i="3"/>
  <c r="AW362" i="3"/>
  <c r="AU363" i="3"/>
  <c r="AV363" i="3"/>
  <c r="AW363" i="3"/>
  <c r="AU364" i="3"/>
  <c r="AV364" i="3"/>
  <c r="AW364" i="3"/>
  <c r="AU365" i="3"/>
  <c r="AV365" i="3"/>
  <c r="AW365" i="3"/>
  <c r="AU366" i="3"/>
  <c r="AV366" i="3"/>
  <c r="AW366" i="3"/>
  <c r="AU367" i="3"/>
  <c r="AV367" i="3"/>
  <c r="AW367" i="3"/>
  <c r="AU368" i="3"/>
  <c r="AV368" i="3"/>
  <c r="AW368" i="3"/>
  <c r="AU369" i="3"/>
  <c r="AV369" i="3"/>
  <c r="AW369" i="3"/>
  <c r="AU370" i="3"/>
  <c r="AV370" i="3"/>
  <c r="AW370" i="3"/>
  <c r="AU371" i="3"/>
  <c r="AV371" i="3"/>
  <c r="AW371" i="3"/>
  <c r="AU372" i="3"/>
  <c r="AV372" i="3"/>
  <c r="AW372" i="3"/>
  <c r="AU373" i="3"/>
  <c r="AV373" i="3"/>
  <c r="AW373" i="3"/>
  <c r="AU374" i="3"/>
  <c r="AV374" i="3"/>
  <c r="AW374" i="3"/>
  <c r="AU375" i="3"/>
  <c r="AV375" i="3"/>
  <c r="AW375" i="3"/>
  <c r="AU376" i="3"/>
  <c r="AV376" i="3"/>
  <c r="AW376" i="3"/>
  <c r="AU377" i="3"/>
  <c r="AV377" i="3"/>
  <c r="AW377" i="3"/>
  <c r="AU378" i="3"/>
  <c r="AV378" i="3"/>
  <c r="AW378" i="3"/>
  <c r="AU379" i="3"/>
  <c r="AV379" i="3"/>
  <c r="AW379" i="3"/>
  <c r="AU380" i="3"/>
  <c r="AV380" i="3"/>
  <c r="AW380" i="3"/>
  <c r="AU381" i="3"/>
  <c r="AV381" i="3"/>
  <c r="AW381" i="3"/>
  <c r="AU382" i="3"/>
  <c r="AV382" i="3"/>
  <c r="AW382" i="3"/>
  <c r="AU383" i="3"/>
  <c r="AV383" i="3"/>
  <c r="AW383" i="3"/>
  <c r="AU384" i="3"/>
  <c r="AV384" i="3"/>
  <c r="AW384" i="3"/>
  <c r="AU385" i="3"/>
  <c r="AV385" i="3"/>
  <c r="AW385" i="3"/>
  <c r="AU386" i="3"/>
  <c r="AV386" i="3"/>
  <c r="AW386" i="3"/>
  <c r="AU387" i="3"/>
  <c r="AV387" i="3"/>
  <c r="AW387" i="3"/>
  <c r="AU388" i="3"/>
  <c r="AV388" i="3"/>
  <c r="AW388" i="3"/>
  <c r="AU389" i="3"/>
  <c r="AV389" i="3"/>
  <c r="AW389" i="3"/>
  <c r="AU390" i="3"/>
  <c r="AV390" i="3"/>
  <c r="AW390" i="3"/>
  <c r="D292" i="3"/>
  <c r="G292" i="3" s="1"/>
  <c r="E292" i="3"/>
  <c r="D293" i="3"/>
  <c r="G293" i="3" s="1"/>
  <c r="I293" i="3" s="1"/>
  <c r="E293" i="3"/>
  <c r="D294" i="3"/>
  <c r="G294" i="3" s="1"/>
  <c r="I294" i="3" s="1"/>
  <c r="E294" i="3"/>
  <c r="D295" i="3"/>
  <c r="E295" i="3"/>
  <c r="G295" i="3"/>
  <c r="I295" i="3" s="1"/>
  <c r="D296" i="3"/>
  <c r="G296" i="3" s="1"/>
  <c r="J296" i="3" s="1"/>
  <c r="E296" i="3"/>
  <c r="D297" i="3"/>
  <c r="G297" i="3" s="1"/>
  <c r="I297" i="3" s="1"/>
  <c r="E297" i="3"/>
  <c r="D298" i="3"/>
  <c r="G298" i="3" s="1"/>
  <c r="I298" i="3" s="1"/>
  <c r="E298" i="3"/>
  <c r="D299" i="3"/>
  <c r="G299" i="3" s="1"/>
  <c r="I299" i="3" s="1"/>
  <c r="E299" i="3"/>
  <c r="D300" i="3"/>
  <c r="G300" i="3" s="1"/>
  <c r="I300" i="3" s="1"/>
  <c r="E300" i="3"/>
  <c r="D301" i="3"/>
  <c r="G301" i="3" s="1"/>
  <c r="E301" i="3"/>
  <c r="D302" i="3"/>
  <c r="G302" i="3" s="1"/>
  <c r="I302" i="3" s="1"/>
  <c r="E302" i="3"/>
  <c r="D303" i="3"/>
  <c r="G303" i="3" s="1"/>
  <c r="I303" i="3" s="1"/>
  <c r="E303" i="3"/>
  <c r="D304" i="3"/>
  <c r="G304" i="3" s="1"/>
  <c r="E304" i="3"/>
  <c r="D305" i="3"/>
  <c r="G305" i="3" s="1"/>
  <c r="I305" i="3" s="1"/>
  <c r="E305" i="3"/>
  <c r="D306" i="3"/>
  <c r="G306" i="3" s="1"/>
  <c r="I306" i="3" s="1"/>
  <c r="E306" i="3"/>
  <c r="D307" i="3"/>
  <c r="G307" i="3" s="1"/>
  <c r="I307" i="3" s="1"/>
  <c r="E307" i="3"/>
  <c r="D308" i="3"/>
  <c r="G308" i="3" s="1"/>
  <c r="E308" i="3"/>
  <c r="D309" i="3"/>
  <c r="G309" i="3" s="1"/>
  <c r="I309" i="3" s="1"/>
  <c r="E309" i="3"/>
  <c r="D310" i="3"/>
  <c r="G310" i="3" s="1"/>
  <c r="I310" i="3" s="1"/>
  <c r="E310" i="3"/>
  <c r="D311" i="3"/>
  <c r="G311" i="3" s="1"/>
  <c r="I311" i="3" s="1"/>
  <c r="E311" i="3"/>
  <c r="D312" i="3"/>
  <c r="G312" i="3" s="1"/>
  <c r="I312" i="3" s="1"/>
  <c r="E312" i="3"/>
  <c r="D313" i="3"/>
  <c r="G313" i="3" s="1"/>
  <c r="E313" i="3"/>
  <c r="D314" i="3"/>
  <c r="G314" i="3" s="1"/>
  <c r="E314" i="3"/>
  <c r="D315" i="3"/>
  <c r="G315" i="3" s="1"/>
  <c r="I315" i="3" s="1"/>
  <c r="E315" i="3"/>
  <c r="F315" i="3" s="1"/>
  <c r="D316" i="3"/>
  <c r="G316" i="3" s="1"/>
  <c r="E316" i="3"/>
  <c r="F316" i="3" s="1"/>
  <c r="D317" i="3"/>
  <c r="G317" i="3" s="1"/>
  <c r="I317" i="3" s="1"/>
  <c r="E317" i="3"/>
  <c r="D318" i="3"/>
  <c r="G318" i="3" s="1"/>
  <c r="I318" i="3" s="1"/>
  <c r="E318" i="3"/>
  <c r="D319" i="3"/>
  <c r="E319" i="3"/>
  <c r="D320" i="3"/>
  <c r="G320" i="3" s="1"/>
  <c r="E320" i="3"/>
  <c r="D321" i="3"/>
  <c r="G321" i="3" s="1"/>
  <c r="I321" i="3" s="1"/>
  <c r="E321" i="3"/>
  <c r="D322" i="3"/>
  <c r="G322" i="3" s="1"/>
  <c r="I322" i="3" s="1"/>
  <c r="E322" i="3"/>
  <c r="D323" i="3"/>
  <c r="G323" i="3" s="1"/>
  <c r="I323" i="3" s="1"/>
  <c r="E323" i="3"/>
  <c r="D324" i="3"/>
  <c r="G324" i="3" s="1"/>
  <c r="I324" i="3" s="1"/>
  <c r="E324" i="3"/>
  <c r="D325" i="3"/>
  <c r="G325" i="3" s="1"/>
  <c r="E325" i="3"/>
  <c r="D326" i="3"/>
  <c r="G326" i="3" s="1"/>
  <c r="E326" i="3"/>
  <c r="D327" i="3"/>
  <c r="G327" i="3" s="1"/>
  <c r="I327" i="3" s="1"/>
  <c r="E327" i="3"/>
  <c r="F327" i="3" s="1"/>
  <c r="D328" i="3"/>
  <c r="G328" i="3" s="1"/>
  <c r="E328" i="3"/>
  <c r="D329" i="3"/>
  <c r="G329" i="3" s="1"/>
  <c r="I329" i="3" s="1"/>
  <c r="E329" i="3"/>
  <c r="D330" i="3"/>
  <c r="G330" i="3" s="1"/>
  <c r="I330" i="3" s="1"/>
  <c r="E330" i="3"/>
  <c r="D331" i="3"/>
  <c r="G331" i="3" s="1"/>
  <c r="I331" i="3" s="1"/>
  <c r="E331" i="3"/>
  <c r="D332" i="3"/>
  <c r="G332" i="3" s="1"/>
  <c r="J332" i="3" s="1"/>
  <c r="E332" i="3"/>
  <c r="F332" i="3" s="1"/>
  <c r="D333" i="3"/>
  <c r="G333" i="3" s="1"/>
  <c r="I333" i="3" s="1"/>
  <c r="E333" i="3"/>
  <c r="D334" i="3"/>
  <c r="G334" i="3" s="1"/>
  <c r="I334" i="3" s="1"/>
  <c r="E334" i="3"/>
  <c r="D335" i="3"/>
  <c r="G335" i="3" s="1"/>
  <c r="I335" i="3" s="1"/>
  <c r="E335" i="3"/>
  <c r="D336" i="3"/>
  <c r="G336" i="3" s="1"/>
  <c r="I336" i="3" s="1"/>
  <c r="E336" i="3"/>
  <c r="D337" i="3"/>
  <c r="G337" i="3" s="1"/>
  <c r="E337" i="3"/>
  <c r="D338" i="3"/>
  <c r="G338" i="3" s="1"/>
  <c r="E338" i="3"/>
  <c r="D339" i="3"/>
  <c r="G339" i="3" s="1"/>
  <c r="I339" i="3" s="1"/>
  <c r="E339" i="3"/>
  <c r="D340" i="3"/>
  <c r="G340" i="3" s="1"/>
  <c r="E340" i="3"/>
  <c r="D341" i="3"/>
  <c r="G341" i="3" s="1"/>
  <c r="I341" i="3" s="1"/>
  <c r="E341" i="3"/>
  <c r="D342" i="3"/>
  <c r="G342" i="3" s="1"/>
  <c r="I342" i="3" s="1"/>
  <c r="E342" i="3"/>
  <c r="D343" i="3"/>
  <c r="G343" i="3" s="1"/>
  <c r="I343" i="3" s="1"/>
  <c r="E343" i="3"/>
  <c r="D344" i="3"/>
  <c r="G344" i="3" s="1"/>
  <c r="E344" i="3"/>
  <c r="D345" i="3"/>
  <c r="G345" i="3" s="1"/>
  <c r="I345" i="3" s="1"/>
  <c r="E345" i="3"/>
  <c r="D346" i="3"/>
  <c r="G346" i="3" s="1"/>
  <c r="I346" i="3" s="1"/>
  <c r="E346" i="3"/>
  <c r="D347" i="3"/>
  <c r="G347" i="3" s="1"/>
  <c r="I347" i="3" s="1"/>
  <c r="E347" i="3"/>
  <c r="D348" i="3"/>
  <c r="G348" i="3" s="1"/>
  <c r="I348" i="3" s="1"/>
  <c r="E348" i="3"/>
  <c r="D349" i="3"/>
  <c r="G349" i="3" s="1"/>
  <c r="E349" i="3"/>
  <c r="D350" i="3"/>
  <c r="G350" i="3" s="1"/>
  <c r="E350" i="3"/>
  <c r="D351" i="3"/>
  <c r="G351" i="3" s="1"/>
  <c r="I351" i="3" s="1"/>
  <c r="E351" i="3"/>
  <c r="D352" i="3"/>
  <c r="G352" i="3" s="1"/>
  <c r="E352" i="3"/>
  <c r="D353" i="3"/>
  <c r="G353" i="3" s="1"/>
  <c r="I353" i="3" s="1"/>
  <c r="E353" i="3"/>
  <c r="D354" i="3"/>
  <c r="G354" i="3" s="1"/>
  <c r="I354" i="3" s="1"/>
  <c r="E354" i="3"/>
  <c r="D355" i="3"/>
  <c r="F355" i="3" s="1"/>
  <c r="E355" i="3"/>
  <c r="D356" i="3"/>
  <c r="G356" i="3" s="1"/>
  <c r="J356" i="3" s="1"/>
  <c r="E356" i="3"/>
  <c r="D357" i="3"/>
  <c r="G357" i="3" s="1"/>
  <c r="I357" i="3" s="1"/>
  <c r="E357" i="3"/>
  <c r="D358" i="3"/>
  <c r="G358" i="3" s="1"/>
  <c r="I358" i="3" s="1"/>
  <c r="E358" i="3"/>
  <c r="D359" i="3"/>
  <c r="G359" i="3" s="1"/>
  <c r="I359" i="3" s="1"/>
  <c r="E359" i="3"/>
  <c r="D360" i="3"/>
  <c r="G360" i="3" s="1"/>
  <c r="I360" i="3" s="1"/>
  <c r="E360" i="3"/>
  <c r="D361" i="3"/>
  <c r="G361" i="3" s="1"/>
  <c r="E361" i="3"/>
  <c r="D362" i="3"/>
  <c r="G362" i="3" s="1"/>
  <c r="I362" i="3" s="1"/>
  <c r="E362" i="3"/>
  <c r="D363" i="3"/>
  <c r="G363" i="3" s="1"/>
  <c r="I363" i="3" s="1"/>
  <c r="E363" i="3"/>
  <c r="D364" i="3"/>
  <c r="G364" i="3" s="1"/>
  <c r="E364" i="3"/>
  <c r="F364" i="3" s="1"/>
  <c r="D365" i="3"/>
  <c r="G365" i="3" s="1"/>
  <c r="I365" i="3" s="1"/>
  <c r="E365" i="3"/>
  <c r="D366" i="3"/>
  <c r="G366" i="3" s="1"/>
  <c r="I366" i="3" s="1"/>
  <c r="E366" i="3"/>
  <c r="D367" i="3"/>
  <c r="G367" i="3" s="1"/>
  <c r="I367" i="3" s="1"/>
  <c r="E367" i="3"/>
  <c r="F367" i="3" s="1"/>
  <c r="D368" i="3"/>
  <c r="G368" i="3" s="1"/>
  <c r="J368" i="3" s="1"/>
  <c r="E368" i="3"/>
  <c r="D369" i="3"/>
  <c r="G369" i="3" s="1"/>
  <c r="I369" i="3" s="1"/>
  <c r="E369" i="3"/>
  <c r="D370" i="3"/>
  <c r="G370" i="3" s="1"/>
  <c r="I370" i="3" s="1"/>
  <c r="E370" i="3"/>
  <c r="D371" i="3"/>
  <c r="G371" i="3" s="1"/>
  <c r="I371" i="3" s="1"/>
  <c r="E371" i="3"/>
  <c r="D372" i="3"/>
  <c r="G372" i="3" s="1"/>
  <c r="I372" i="3" s="1"/>
  <c r="E372" i="3"/>
  <c r="D373" i="3"/>
  <c r="G373" i="3" s="1"/>
  <c r="E373" i="3"/>
  <c r="D374" i="3"/>
  <c r="G374" i="3" s="1"/>
  <c r="E374" i="3"/>
  <c r="D375" i="3"/>
  <c r="G375" i="3" s="1"/>
  <c r="I375" i="3" s="1"/>
  <c r="E375" i="3"/>
  <c r="D376" i="3"/>
  <c r="G376" i="3" s="1"/>
  <c r="E376" i="3"/>
  <c r="D377" i="3"/>
  <c r="G377" i="3" s="1"/>
  <c r="I377" i="3" s="1"/>
  <c r="E377" i="3"/>
  <c r="D378" i="3"/>
  <c r="G378" i="3" s="1"/>
  <c r="I378" i="3" s="1"/>
  <c r="E378" i="3"/>
  <c r="D379" i="3"/>
  <c r="G379" i="3" s="1"/>
  <c r="I379" i="3" s="1"/>
  <c r="E379" i="3"/>
  <c r="D380" i="3"/>
  <c r="G380" i="3" s="1"/>
  <c r="E380" i="3"/>
  <c r="F380" i="3" s="1"/>
  <c r="D381" i="3"/>
  <c r="G381" i="3" s="1"/>
  <c r="I381" i="3" s="1"/>
  <c r="E381" i="3"/>
  <c r="D382" i="3"/>
  <c r="G382" i="3" s="1"/>
  <c r="I382" i="3" s="1"/>
  <c r="E382" i="3"/>
  <c r="D383" i="3"/>
  <c r="G383" i="3" s="1"/>
  <c r="I383" i="3" s="1"/>
  <c r="E383" i="3"/>
  <c r="D384" i="3"/>
  <c r="G384" i="3" s="1"/>
  <c r="I384" i="3" s="1"/>
  <c r="E384" i="3"/>
  <c r="D385" i="3"/>
  <c r="G385" i="3" s="1"/>
  <c r="E385" i="3"/>
  <c r="D386" i="3"/>
  <c r="G386" i="3" s="1"/>
  <c r="E386" i="3"/>
  <c r="D387" i="3"/>
  <c r="G387" i="3" s="1"/>
  <c r="I387" i="3" s="1"/>
  <c r="E387" i="3"/>
  <c r="D388" i="3"/>
  <c r="G388" i="3" s="1"/>
  <c r="E388" i="3"/>
  <c r="F388" i="3" s="1"/>
  <c r="D389" i="3"/>
  <c r="G389" i="3" s="1"/>
  <c r="I389" i="3" s="1"/>
  <c r="E389" i="3"/>
  <c r="D390" i="3"/>
  <c r="G390" i="3" s="1"/>
  <c r="I390" i="3" s="1"/>
  <c r="E390" i="3"/>
  <c r="AW291" i="3"/>
  <c r="AV291" i="3"/>
  <c r="AU291" i="3"/>
  <c r="E291" i="3"/>
  <c r="D291" i="3"/>
  <c r="G291" i="3" s="1"/>
  <c r="J291" i="3" s="1"/>
  <c r="B194" i="3"/>
  <c r="A182" i="3"/>
  <c r="A183" i="3" s="1"/>
  <c r="A184" i="3" s="1"/>
  <c r="G181" i="3"/>
  <c r="C181" i="3" s="1"/>
  <c r="F181" i="3" a="1"/>
  <c r="F181" i="3" s="1"/>
  <c r="G179" i="3"/>
  <c r="C179" i="3" s="1"/>
  <c r="F174" i="3"/>
  <c r="B174" i="3"/>
  <c r="M174" i="3" s="1"/>
  <c r="F173" i="3"/>
  <c r="B173" i="3"/>
  <c r="M173" i="3" s="1"/>
  <c r="F172" i="3"/>
  <c r="B172" i="3"/>
  <c r="M172" i="3" s="1"/>
  <c r="F171" i="3"/>
  <c r="B171" i="3"/>
  <c r="M171" i="3" s="1"/>
  <c r="F170" i="3"/>
  <c r="B170" i="3"/>
  <c r="M170" i="3" s="1"/>
  <c r="F169" i="3"/>
  <c r="B169" i="3"/>
  <c r="M169" i="3" s="1"/>
  <c r="F168" i="3"/>
  <c r="B168" i="3"/>
  <c r="M168" i="3" s="1"/>
  <c r="F167" i="3"/>
  <c r="B167" i="3"/>
  <c r="M167" i="3" s="1"/>
  <c r="F166" i="3"/>
  <c r="B166" i="3"/>
  <c r="M166" i="3" s="1"/>
  <c r="F165" i="3"/>
  <c r="B165" i="3"/>
  <c r="M165" i="3" s="1"/>
  <c r="F164" i="3"/>
  <c r="B164" i="3"/>
  <c r="M164" i="3" s="1"/>
  <c r="F163" i="3"/>
  <c r="B163" i="3"/>
  <c r="M163" i="3" s="1"/>
  <c r="F162" i="3"/>
  <c r="B162" i="3"/>
  <c r="M162" i="3" s="1"/>
  <c r="F161" i="3"/>
  <c r="B161" i="3"/>
  <c r="F160" i="3"/>
  <c r="B160" i="3"/>
  <c r="F159" i="3"/>
  <c r="B159" i="3"/>
  <c r="M159" i="3" s="1"/>
  <c r="F158" i="3"/>
  <c r="B158" i="3"/>
  <c r="M158" i="3" s="1"/>
  <c r="F157" i="3"/>
  <c r="B157" i="3"/>
  <c r="M157" i="3" s="1"/>
  <c r="F156" i="3"/>
  <c r="B156" i="3"/>
  <c r="F155" i="3"/>
  <c r="B155" i="3"/>
  <c r="M155" i="3" s="1"/>
  <c r="F154" i="3"/>
  <c r="B154" i="3"/>
  <c r="M154" i="3" s="1"/>
  <c r="F153" i="3"/>
  <c r="B153" i="3"/>
  <c r="F152" i="3"/>
  <c r="B152" i="3"/>
  <c r="M152" i="3" s="1"/>
  <c r="F151" i="3"/>
  <c r="B151" i="3"/>
  <c r="M151" i="3" s="1"/>
  <c r="F150" i="3"/>
  <c r="B150" i="3"/>
  <c r="M150" i="3" s="1"/>
  <c r="F149" i="3"/>
  <c r="B149" i="3"/>
  <c r="F148" i="3"/>
  <c r="B148" i="3"/>
  <c r="F147" i="3"/>
  <c r="B147" i="3"/>
  <c r="M147" i="3" s="1"/>
  <c r="F146" i="3"/>
  <c r="B146" i="3"/>
  <c r="M146" i="3" s="1"/>
  <c r="F145" i="3"/>
  <c r="B145" i="3"/>
  <c r="F144" i="3"/>
  <c r="B144" i="3"/>
  <c r="M144" i="3" s="1"/>
  <c r="F143" i="3"/>
  <c r="B143" i="3"/>
  <c r="M143" i="3" s="1"/>
  <c r="F142" i="3"/>
  <c r="B142" i="3"/>
  <c r="M142" i="3" s="1"/>
  <c r="F141" i="3"/>
  <c r="B141" i="3"/>
  <c r="F140" i="3"/>
  <c r="B140" i="3"/>
  <c r="M140" i="3" s="1"/>
  <c r="F139" i="3"/>
  <c r="B139" i="3"/>
  <c r="M139" i="3" s="1"/>
  <c r="F138" i="3"/>
  <c r="B138" i="3"/>
  <c r="M138" i="3" s="1"/>
  <c r="F137" i="3"/>
  <c r="B137" i="3"/>
  <c r="F136" i="3"/>
  <c r="B136" i="3"/>
  <c r="F135" i="3"/>
  <c r="B135" i="3"/>
  <c r="M135" i="3" s="1"/>
  <c r="F134" i="3"/>
  <c r="B134" i="3"/>
  <c r="M134" i="3" s="1"/>
  <c r="F133" i="3"/>
  <c r="B133" i="3"/>
  <c r="M133" i="3" s="1"/>
  <c r="F132" i="3"/>
  <c r="B132" i="3"/>
  <c r="M132" i="3" s="1"/>
  <c r="F131" i="3"/>
  <c r="B131" i="3"/>
  <c r="M131" i="3" s="1"/>
  <c r="F130" i="3"/>
  <c r="B130" i="3"/>
  <c r="M130" i="3" s="1"/>
  <c r="F129" i="3"/>
  <c r="B129" i="3"/>
  <c r="F128" i="3"/>
  <c r="B128" i="3"/>
  <c r="M128" i="3" s="1"/>
  <c r="F127" i="3"/>
  <c r="B127" i="3"/>
  <c r="M127" i="3" s="1"/>
  <c r="F126" i="3"/>
  <c r="B126" i="3"/>
  <c r="M126" i="3" s="1"/>
  <c r="F125" i="3"/>
  <c r="B125" i="3"/>
  <c r="F124" i="3"/>
  <c r="B124" i="3"/>
  <c r="M124" i="3" s="1"/>
  <c r="F123" i="3"/>
  <c r="B123" i="3"/>
  <c r="M123" i="3" s="1"/>
  <c r="F122" i="3"/>
  <c r="B122" i="3"/>
  <c r="M122" i="3" s="1"/>
  <c r="F121" i="3"/>
  <c r="B121" i="3"/>
  <c r="F120" i="3"/>
  <c r="B120" i="3"/>
  <c r="F119" i="3"/>
  <c r="B119" i="3"/>
  <c r="M119" i="3" s="1"/>
  <c r="F118" i="3"/>
  <c r="B118" i="3"/>
  <c r="M118" i="3" s="1"/>
  <c r="F117" i="3"/>
  <c r="B117" i="3"/>
  <c r="M117" i="3" s="1"/>
  <c r="F116" i="3"/>
  <c r="B116" i="3"/>
  <c r="F115" i="3"/>
  <c r="B115" i="3"/>
  <c r="M115" i="3" s="1"/>
  <c r="F114" i="3"/>
  <c r="B114" i="3"/>
  <c r="M114" i="3" s="1"/>
  <c r="F113" i="3"/>
  <c r="B113" i="3"/>
  <c r="M113" i="3" s="1"/>
  <c r="F112" i="3"/>
  <c r="B112" i="3"/>
  <c r="M112" i="3" s="1"/>
  <c r="F111" i="3"/>
  <c r="B111" i="3"/>
  <c r="M111" i="3" s="1"/>
  <c r="F110" i="3"/>
  <c r="B110" i="3"/>
  <c r="M110" i="3" s="1"/>
  <c r="F109" i="3"/>
  <c r="B109" i="3"/>
  <c r="F108" i="3"/>
  <c r="B108" i="3"/>
  <c r="M108" i="3" s="1"/>
  <c r="F107" i="3"/>
  <c r="B107" i="3"/>
  <c r="M107" i="3" s="1"/>
  <c r="F106" i="3"/>
  <c r="B106" i="3"/>
  <c r="M106" i="3" s="1"/>
  <c r="F105" i="3"/>
  <c r="B105" i="3"/>
  <c r="F104" i="3"/>
  <c r="B104" i="3"/>
  <c r="M104" i="3" s="1"/>
  <c r="F103" i="3"/>
  <c r="B103" i="3"/>
  <c r="M103" i="3" s="1"/>
  <c r="F102" i="3"/>
  <c r="B102" i="3"/>
  <c r="M102" i="3" s="1"/>
  <c r="F101" i="3"/>
  <c r="B101" i="3"/>
  <c r="F100" i="3"/>
  <c r="B100" i="3"/>
  <c r="M100" i="3" s="1"/>
  <c r="F99" i="3"/>
  <c r="B99" i="3"/>
  <c r="M99" i="3" s="1"/>
  <c r="F98" i="3"/>
  <c r="B98" i="3"/>
  <c r="M98" i="3" s="1"/>
  <c r="F97" i="3"/>
  <c r="B97" i="3"/>
  <c r="M97" i="3" s="1"/>
  <c r="F96" i="3"/>
  <c r="B96" i="3"/>
  <c r="M96" i="3" s="1"/>
  <c r="F95" i="3"/>
  <c r="B95" i="3"/>
  <c r="M95" i="3" s="1"/>
  <c r="F94" i="3"/>
  <c r="B94" i="3"/>
  <c r="M94" i="3" s="1"/>
  <c r="F93" i="3"/>
  <c r="B93" i="3"/>
  <c r="F92" i="3"/>
  <c r="B92" i="3"/>
  <c r="M92" i="3" s="1"/>
  <c r="F91" i="3"/>
  <c r="B91" i="3"/>
  <c r="M91" i="3" s="1"/>
  <c r="F90" i="3"/>
  <c r="B90" i="3"/>
  <c r="M90" i="3" s="1"/>
  <c r="F89" i="3"/>
  <c r="B89" i="3"/>
  <c r="F88" i="3"/>
  <c r="B88" i="3"/>
  <c r="M88" i="3" s="1"/>
  <c r="F87" i="3"/>
  <c r="B87" i="3"/>
  <c r="M87" i="3" s="1"/>
  <c r="F86" i="3"/>
  <c r="B86" i="3"/>
  <c r="M86" i="3" s="1"/>
  <c r="F85" i="3"/>
  <c r="B85" i="3"/>
  <c r="F84" i="3"/>
  <c r="B84" i="3"/>
  <c r="M84" i="3" s="1"/>
  <c r="F83" i="3"/>
  <c r="B83" i="3"/>
  <c r="M83" i="3" s="1"/>
  <c r="F82" i="3"/>
  <c r="B82" i="3"/>
  <c r="M82" i="3" s="1"/>
  <c r="F81" i="3"/>
  <c r="B81" i="3"/>
  <c r="F80" i="3"/>
  <c r="B80" i="3"/>
  <c r="M80" i="3" s="1"/>
  <c r="F79" i="3"/>
  <c r="B79" i="3"/>
  <c r="M79" i="3" s="1"/>
  <c r="F78" i="3"/>
  <c r="B78" i="3"/>
  <c r="M78" i="3" s="1"/>
  <c r="F77" i="3"/>
  <c r="B77" i="3"/>
  <c r="M77" i="3" s="1"/>
  <c r="F76" i="3"/>
  <c r="B76" i="3"/>
  <c r="M76" i="3" s="1"/>
  <c r="F75" i="3"/>
  <c r="B75" i="3"/>
  <c r="M75" i="3" s="1"/>
  <c r="M74" i="3"/>
  <c r="L74" i="3"/>
  <c r="K74" i="3"/>
  <c r="F70" i="3"/>
  <c r="A70" i="3"/>
  <c r="F69" i="3"/>
  <c r="D69" i="3"/>
  <c r="A69" i="3"/>
  <c r="F68" i="3"/>
  <c r="D68" i="3"/>
  <c r="A68" i="3"/>
  <c r="H67" i="3"/>
  <c r="G67" i="3"/>
  <c r="F67" i="3"/>
  <c r="C67" i="3"/>
  <c r="B67" i="3"/>
  <c r="A67" i="3"/>
  <c r="D65" i="3"/>
  <c r="J132" i="3" s="1"/>
  <c r="K132" i="3" s="1"/>
  <c r="C65" i="3"/>
  <c r="D39" i="3"/>
  <c r="F38" i="3"/>
  <c r="D38" i="3"/>
  <c r="A38" i="3"/>
  <c r="F37" i="3"/>
  <c r="A37" i="3"/>
  <c r="H36" i="3"/>
  <c r="G36" i="3"/>
  <c r="C36" i="3"/>
  <c r="B36" i="3"/>
  <c r="C34" i="3"/>
  <c r="C26" i="3"/>
  <c r="I24" i="3" s="1"/>
  <c r="I25" i="3"/>
  <c r="I26" i="3" s="1"/>
  <c r="F24" i="3"/>
  <c r="F20" i="3"/>
  <c r="B20" i="3"/>
  <c r="I16" i="3"/>
  <c r="E16" i="3"/>
  <c r="D16" i="3"/>
  <c r="E15" i="3"/>
  <c r="D15" i="3"/>
  <c r="DY271" i="3" l="1"/>
  <c r="BW271" i="3"/>
  <c r="DW271" i="3"/>
  <c r="BO271" i="3"/>
  <c r="DV271" i="3"/>
  <c r="BK271" i="3"/>
  <c r="F310" i="3"/>
  <c r="F304" i="3"/>
  <c r="DM271" i="3"/>
  <c r="BJ271" i="3"/>
  <c r="DH271" i="3"/>
  <c r="BC271" i="3"/>
  <c r="CZ271" i="3"/>
  <c r="BA271" i="3"/>
  <c r="AX271" i="3"/>
  <c r="F359" i="3"/>
  <c r="AJ271" i="3"/>
  <c r="CJ271" i="3"/>
  <c r="F361" i="3"/>
  <c r="F356" i="3"/>
  <c r="F351" i="3"/>
  <c r="F299" i="3"/>
  <c r="G355" i="3"/>
  <c r="I355" i="3" s="1"/>
  <c r="G182" i="3"/>
  <c r="C182" i="3" s="1"/>
  <c r="C39" i="3"/>
  <c r="B39" i="3" s="1"/>
  <c r="G39" i="3" s="1"/>
  <c r="F370" i="3"/>
  <c r="C46" i="3"/>
  <c r="CB271" i="3"/>
  <c r="AQ271" i="3"/>
  <c r="DK271" i="3"/>
  <c r="BZ271" i="3"/>
  <c r="AO271" i="3"/>
  <c r="F291" i="3"/>
  <c r="DI271" i="3"/>
  <c r="BX271" i="3"/>
  <c r="EE271" i="3"/>
  <c r="CX271" i="3"/>
  <c r="BM271" i="3"/>
  <c r="J145" i="3"/>
  <c r="F379" i="3"/>
  <c r="F352" i="3"/>
  <c r="F346" i="3"/>
  <c r="J338" i="3"/>
  <c r="I338" i="3"/>
  <c r="F387" i="3"/>
  <c r="F382" i="3"/>
  <c r="F371" i="3"/>
  <c r="F347" i="3"/>
  <c r="F337" i="3"/>
  <c r="DZ271" i="3"/>
  <c r="DL271" i="3"/>
  <c r="CY271" i="3"/>
  <c r="CM271" i="3"/>
  <c r="CA271" i="3"/>
  <c r="BN271" i="3"/>
  <c r="BB271" i="3"/>
  <c r="AP271" i="3"/>
  <c r="J101" i="3"/>
  <c r="J124" i="3"/>
  <c r="K124" i="3" s="1"/>
  <c r="F376" i="3"/>
  <c r="F336" i="3"/>
  <c r="DX271" i="3"/>
  <c r="DJ271" i="3"/>
  <c r="CW271" i="3"/>
  <c r="CK271" i="3"/>
  <c r="BY271" i="3"/>
  <c r="BL271" i="3"/>
  <c r="AZ271" i="3"/>
  <c r="AN271" i="3"/>
  <c r="DR271" i="3"/>
  <c r="J85" i="3"/>
  <c r="J120" i="3"/>
  <c r="K120" i="3" s="1"/>
  <c r="J136" i="3"/>
  <c r="L136" i="3" s="1"/>
  <c r="F324" i="3"/>
  <c r="F313" i="3"/>
  <c r="F303" i="3"/>
  <c r="AK271" i="3"/>
  <c r="DU271" i="3"/>
  <c r="DG271" i="3"/>
  <c r="CT271" i="3"/>
  <c r="CH271" i="3"/>
  <c r="BU271" i="3"/>
  <c r="BI271" i="3"/>
  <c r="AW271" i="3"/>
  <c r="DF271" i="3"/>
  <c r="F319" i="3"/>
  <c r="AL271" i="3"/>
  <c r="DT271" i="3"/>
  <c r="DE271" i="3"/>
  <c r="CS271" i="3"/>
  <c r="CG271" i="3"/>
  <c r="BT271" i="3"/>
  <c r="BH271" i="3"/>
  <c r="AV271" i="3"/>
  <c r="EF271" i="3"/>
  <c r="J92" i="3"/>
  <c r="L92" i="3" s="1"/>
  <c r="M120" i="3"/>
  <c r="M136" i="3"/>
  <c r="J148" i="3"/>
  <c r="L148" i="3" s="1"/>
  <c r="F344" i="3"/>
  <c r="F323" i="3"/>
  <c r="F312" i="3"/>
  <c r="AM271" i="3"/>
  <c r="DQ271" i="3"/>
  <c r="DD271" i="3"/>
  <c r="CR271" i="3"/>
  <c r="CF271" i="3"/>
  <c r="BS271" i="3"/>
  <c r="BG271" i="3"/>
  <c r="AU271" i="3"/>
  <c r="EG271" i="3"/>
  <c r="J137" i="3"/>
  <c r="F373" i="3"/>
  <c r="F368" i="3"/>
  <c r="F363" i="3"/>
  <c r="F292" i="3"/>
  <c r="ED271" i="3"/>
  <c r="DP271" i="3"/>
  <c r="DC271" i="3"/>
  <c r="CQ271" i="3"/>
  <c r="CE271" i="3"/>
  <c r="BR271" i="3"/>
  <c r="BF271" i="3"/>
  <c r="AT271" i="3"/>
  <c r="J81" i="3"/>
  <c r="K81" i="3" s="1"/>
  <c r="F383" i="3"/>
  <c r="F328" i="3"/>
  <c r="EC271" i="3"/>
  <c r="DO271" i="3"/>
  <c r="DB271" i="3"/>
  <c r="CP271" i="3"/>
  <c r="CD271" i="3"/>
  <c r="BQ271" i="3"/>
  <c r="BE271" i="3"/>
  <c r="AS271" i="3"/>
  <c r="F301" i="3"/>
  <c r="F296" i="3"/>
  <c r="EB271" i="3"/>
  <c r="DN271" i="3"/>
  <c r="DA271" i="3"/>
  <c r="CO271" i="3"/>
  <c r="CC271" i="3"/>
  <c r="BP271" i="3"/>
  <c r="BD271" i="3"/>
  <c r="J386" i="3"/>
  <c r="I386" i="3"/>
  <c r="I314" i="3"/>
  <c r="J314" i="3"/>
  <c r="J320" i="3"/>
  <c r="I320" i="3"/>
  <c r="J380" i="3"/>
  <c r="I380" i="3"/>
  <c r="J344" i="3"/>
  <c r="I344" i="3"/>
  <c r="J308" i="3"/>
  <c r="I308" i="3"/>
  <c r="I326" i="3"/>
  <c r="J326" i="3"/>
  <c r="I374" i="3"/>
  <c r="J374" i="3"/>
  <c r="I350" i="3"/>
  <c r="J350" i="3"/>
  <c r="M148" i="3"/>
  <c r="J160" i="3"/>
  <c r="K160" i="3" s="1"/>
  <c r="F295" i="3"/>
  <c r="B11" i="3"/>
  <c r="J96" i="3"/>
  <c r="K96" i="3" s="1"/>
  <c r="J128" i="3"/>
  <c r="E128" i="3" s="1"/>
  <c r="J149" i="3"/>
  <c r="F372" i="3"/>
  <c r="F322" i="3"/>
  <c r="F308" i="3"/>
  <c r="J109" i="3"/>
  <c r="E109" i="3" s="1"/>
  <c r="M160" i="3"/>
  <c r="F340" i="3"/>
  <c r="I368" i="3"/>
  <c r="I332" i="3"/>
  <c r="C11" i="3"/>
  <c r="J76" i="3"/>
  <c r="L76" i="3" s="1"/>
  <c r="J80" i="3"/>
  <c r="K80" i="3" s="1"/>
  <c r="J129" i="3"/>
  <c r="E129" i="3" s="1"/>
  <c r="J156" i="3"/>
  <c r="E156" i="3" s="1"/>
  <c r="J161" i="3"/>
  <c r="K161" i="3" s="1"/>
  <c r="F182" i="3" a="1"/>
  <c r="F182" i="3" s="1"/>
  <c r="F385" i="3"/>
  <c r="F358" i="3"/>
  <c r="F349" i="3"/>
  <c r="F335" i="3"/>
  <c r="F331" i="3"/>
  <c r="F298" i="3"/>
  <c r="J362" i="3"/>
  <c r="J93" i="3"/>
  <c r="E93" i="3" s="1"/>
  <c r="J125" i="3"/>
  <c r="L125" i="3" s="1"/>
  <c r="M156" i="3"/>
  <c r="F384" i="3"/>
  <c r="F348" i="3"/>
  <c r="F339" i="3"/>
  <c r="F325" i="3"/>
  <c r="F311" i="3"/>
  <c r="F307" i="3"/>
  <c r="I356" i="3"/>
  <c r="J88" i="3"/>
  <c r="K88" i="3" s="1"/>
  <c r="J105" i="3"/>
  <c r="L105" i="3" s="1"/>
  <c r="J116" i="3"/>
  <c r="K116" i="3" s="1"/>
  <c r="F375" i="3"/>
  <c r="F334" i="3"/>
  <c r="F320" i="3"/>
  <c r="J302" i="3"/>
  <c r="J121" i="3"/>
  <c r="K121" i="3" s="1"/>
  <c r="B38" i="3"/>
  <c r="G38" i="3" s="1"/>
  <c r="J89" i="3"/>
  <c r="K89" i="3" s="1"/>
  <c r="J112" i="3"/>
  <c r="K112" i="3" s="1"/>
  <c r="M116" i="3"/>
  <c r="J141" i="3"/>
  <c r="E141" i="3" s="1"/>
  <c r="F343" i="3"/>
  <c r="G319" i="3"/>
  <c r="I319" i="3" s="1"/>
  <c r="I296" i="3"/>
  <c r="C24" i="3"/>
  <c r="E24" i="3" s="1"/>
  <c r="J153" i="3"/>
  <c r="E153" i="3" s="1"/>
  <c r="F360" i="3"/>
  <c r="F300" i="3"/>
  <c r="I337" i="3"/>
  <c r="J337" i="3"/>
  <c r="L160" i="3"/>
  <c r="I373" i="3"/>
  <c r="J373" i="3"/>
  <c r="I313" i="3"/>
  <c r="J313" i="3"/>
  <c r="I304" i="3"/>
  <c r="J304" i="3"/>
  <c r="E92" i="3"/>
  <c r="K148" i="3"/>
  <c r="I328" i="3"/>
  <c r="J328" i="3"/>
  <c r="I364" i="3"/>
  <c r="J364" i="3"/>
  <c r="K156" i="3"/>
  <c r="I385" i="3"/>
  <c r="J385" i="3"/>
  <c r="I349" i="3"/>
  <c r="J349" i="3"/>
  <c r="I340" i="3"/>
  <c r="J340" i="3"/>
  <c r="I376" i="3"/>
  <c r="J376" i="3"/>
  <c r="I325" i="3"/>
  <c r="J325" i="3"/>
  <c r="I316" i="3"/>
  <c r="J316" i="3"/>
  <c r="A185" i="3"/>
  <c r="G184" i="3"/>
  <c r="C184" i="3" s="1"/>
  <c r="F184" i="3" a="1"/>
  <c r="F184" i="3" s="1"/>
  <c r="I361" i="3"/>
  <c r="J361" i="3"/>
  <c r="I301" i="3"/>
  <c r="J301" i="3"/>
  <c r="I292" i="3"/>
  <c r="J292" i="3"/>
  <c r="I388" i="3"/>
  <c r="J388" i="3"/>
  <c r="I352" i="3"/>
  <c r="J352" i="3"/>
  <c r="M145" i="3"/>
  <c r="M153" i="3"/>
  <c r="I291" i="3"/>
  <c r="J379" i="3"/>
  <c r="J367" i="3"/>
  <c r="J355" i="3"/>
  <c r="J343" i="3"/>
  <c r="J331" i="3"/>
  <c r="J307" i="3"/>
  <c r="J295" i="3"/>
  <c r="M161" i="3"/>
  <c r="J100" i="3"/>
  <c r="L100" i="3" s="1"/>
  <c r="J104" i="3"/>
  <c r="G183" i="3"/>
  <c r="C183" i="3" s="1"/>
  <c r="J390" i="3"/>
  <c r="J384" i="3"/>
  <c r="J378" i="3"/>
  <c r="J372" i="3"/>
  <c r="J366" i="3"/>
  <c r="J360" i="3"/>
  <c r="J354" i="3"/>
  <c r="J348" i="3"/>
  <c r="J342" i="3"/>
  <c r="J336" i="3"/>
  <c r="J330" i="3"/>
  <c r="J324" i="3"/>
  <c r="J318" i="3"/>
  <c r="J312" i="3"/>
  <c r="J306" i="3"/>
  <c r="J300" i="3"/>
  <c r="J294" i="3"/>
  <c r="F183" i="3" a="1"/>
  <c r="F183" i="3" s="1"/>
  <c r="J84" i="3"/>
  <c r="K84" i="3" s="1"/>
  <c r="J113" i="3"/>
  <c r="L113" i="3" s="1"/>
  <c r="M121" i="3"/>
  <c r="M129" i="3"/>
  <c r="M137" i="3"/>
  <c r="M109" i="3"/>
  <c r="M125" i="3"/>
  <c r="J389" i="3"/>
  <c r="J383" i="3"/>
  <c r="J377" i="3"/>
  <c r="J371" i="3"/>
  <c r="J365" i="3"/>
  <c r="J359" i="3"/>
  <c r="J353" i="3"/>
  <c r="J347" i="3"/>
  <c r="J341" i="3"/>
  <c r="J335" i="3"/>
  <c r="J329" i="3"/>
  <c r="J323" i="3"/>
  <c r="J317" i="3"/>
  <c r="J311" i="3"/>
  <c r="J305" i="3"/>
  <c r="J299" i="3"/>
  <c r="J293" i="3"/>
  <c r="F390" i="3"/>
  <c r="F386" i="3"/>
  <c r="F378" i="3"/>
  <c r="F374" i="3"/>
  <c r="F366" i="3"/>
  <c r="F362" i="3"/>
  <c r="F354" i="3"/>
  <c r="F350" i="3"/>
  <c r="F342" i="3"/>
  <c r="F338" i="3"/>
  <c r="F330" i="3"/>
  <c r="F326" i="3"/>
  <c r="F318" i="3"/>
  <c r="F314" i="3"/>
  <c r="F306" i="3"/>
  <c r="F302" i="3"/>
  <c r="F294" i="3"/>
  <c r="H39" i="3"/>
  <c r="M101" i="3"/>
  <c r="M105" i="3"/>
  <c r="J168" i="3"/>
  <c r="L168" i="3" s="1"/>
  <c r="J172" i="3"/>
  <c r="J382" i="3"/>
  <c r="J370" i="3"/>
  <c r="J358" i="3"/>
  <c r="J346" i="3"/>
  <c r="J334" i="3"/>
  <c r="J322" i="3"/>
  <c r="J310" i="3"/>
  <c r="J298" i="3"/>
  <c r="M141" i="3"/>
  <c r="M149" i="3"/>
  <c r="I38" i="3"/>
  <c r="M85" i="3"/>
  <c r="M93" i="3"/>
  <c r="I39" i="3"/>
  <c r="M89" i="3"/>
  <c r="J77" i="3"/>
  <c r="K77" i="3" s="1"/>
  <c r="M81" i="3"/>
  <c r="J144" i="3"/>
  <c r="L144" i="3" s="1"/>
  <c r="J152" i="3"/>
  <c r="E152" i="3" s="1"/>
  <c r="J169" i="3"/>
  <c r="K169" i="3" s="1"/>
  <c r="F389" i="3"/>
  <c r="F381" i="3"/>
  <c r="F377" i="3"/>
  <c r="F369" i="3"/>
  <c r="F365" i="3"/>
  <c r="F357" i="3"/>
  <c r="F353" i="3"/>
  <c r="F345" i="3"/>
  <c r="F341" i="3"/>
  <c r="F333" i="3"/>
  <c r="F329" i="3"/>
  <c r="F321" i="3"/>
  <c r="F317" i="3"/>
  <c r="F309" i="3"/>
  <c r="F305" i="3"/>
  <c r="F297" i="3"/>
  <c r="F293" i="3"/>
  <c r="J387" i="3"/>
  <c r="J381" i="3"/>
  <c r="J375" i="3"/>
  <c r="J369" i="3"/>
  <c r="J363" i="3"/>
  <c r="J357" i="3"/>
  <c r="J351" i="3"/>
  <c r="J345" i="3"/>
  <c r="J339" i="3"/>
  <c r="J333" i="3"/>
  <c r="J327" i="3"/>
  <c r="J321" i="3"/>
  <c r="J315" i="3"/>
  <c r="J309" i="3"/>
  <c r="J303" i="3"/>
  <c r="J297" i="3"/>
  <c r="E132" i="3"/>
  <c r="E136" i="3"/>
  <c r="J165" i="3"/>
  <c r="E165" i="3" s="1"/>
  <c r="J173" i="3"/>
  <c r="L173" i="3" s="1"/>
  <c r="L96" i="3"/>
  <c r="L132" i="3"/>
  <c r="J97" i="3"/>
  <c r="J108" i="3"/>
  <c r="E116" i="3"/>
  <c r="J133" i="3"/>
  <c r="L133" i="3" s="1"/>
  <c r="J140" i="3"/>
  <c r="J157" i="3"/>
  <c r="E157" i="3" s="1"/>
  <c r="J164" i="3"/>
  <c r="L120" i="3"/>
  <c r="J117" i="3"/>
  <c r="E117" i="3" s="1"/>
  <c r="C74" i="3"/>
  <c r="G14" i="3"/>
  <c r="F14" i="3"/>
  <c r="H11" i="3"/>
  <c r="C90" i="3" s="1"/>
  <c r="D19" i="3"/>
  <c r="E19" i="3"/>
  <c r="I180" i="3"/>
  <c r="H180" i="3"/>
  <c r="E180" i="3"/>
  <c r="D180" i="3"/>
  <c r="D74" i="3"/>
  <c r="C130" i="3"/>
  <c r="DS271" i="3"/>
  <c r="BV271" i="3"/>
  <c r="AK47" i="3"/>
  <c r="C37" i="3"/>
  <c r="H37" i="3" s="1"/>
  <c r="K129" i="3"/>
  <c r="L129" i="3"/>
  <c r="E125" i="3"/>
  <c r="E173" i="3"/>
  <c r="E145" i="3"/>
  <c r="K145" i="3"/>
  <c r="L145" i="3"/>
  <c r="E89" i="3"/>
  <c r="L89" i="3"/>
  <c r="K85" i="3"/>
  <c r="E85" i="3"/>
  <c r="L85" i="3"/>
  <c r="E137" i="3"/>
  <c r="K137" i="3"/>
  <c r="L137" i="3"/>
  <c r="E161" i="3"/>
  <c r="E149" i="3"/>
  <c r="L149" i="3"/>
  <c r="K149" i="3"/>
  <c r="E101" i="3"/>
  <c r="K101" i="3"/>
  <c r="L101" i="3"/>
  <c r="E97" i="3"/>
  <c r="K97" i="3"/>
  <c r="L97" i="3"/>
  <c r="K113" i="3"/>
  <c r="A71" i="3"/>
  <c r="D71" i="3"/>
  <c r="J75" i="3"/>
  <c r="J83" i="3"/>
  <c r="J107" i="3"/>
  <c r="J123" i="3"/>
  <c r="J127" i="3"/>
  <c r="J131" i="3"/>
  <c r="J135" i="3"/>
  <c r="J139" i="3"/>
  <c r="J143" i="3"/>
  <c r="J147" i="3"/>
  <c r="J151" i="3"/>
  <c r="J155" i="3"/>
  <c r="J159" i="3"/>
  <c r="J163" i="3"/>
  <c r="J167" i="3"/>
  <c r="J171" i="3"/>
  <c r="G71" i="3"/>
  <c r="J79" i="3"/>
  <c r="J87" i="3"/>
  <c r="J91" i="3"/>
  <c r="J95" i="3"/>
  <c r="J99" i="3"/>
  <c r="J103" i="3"/>
  <c r="J111" i="3"/>
  <c r="J115" i="3"/>
  <c r="J119" i="3"/>
  <c r="J78" i="3"/>
  <c r="J82" i="3"/>
  <c r="J86" i="3"/>
  <c r="J90" i="3"/>
  <c r="J94" i="3"/>
  <c r="J98" i="3"/>
  <c r="J102" i="3"/>
  <c r="J106" i="3"/>
  <c r="J110" i="3"/>
  <c r="J114" i="3"/>
  <c r="J118" i="3"/>
  <c r="J122" i="3"/>
  <c r="J126" i="3"/>
  <c r="J130" i="3"/>
  <c r="J134" i="3"/>
  <c r="J138" i="3"/>
  <c r="J142" i="3"/>
  <c r="J146" i="3"/>
  <c r="J150" i="3"/>
  <c r="J154" i="3"/>
  <c r="J158" i="3"/>
  <c r="J162" i="3"/>
  <c r="J166" i="3"/>
  <c r="J170" i="3"/>
  <c r="J174" i="3"/>
  <c r="E65" i="3"/>
  <c r="D37" i="3"/>
  <c r="I37" i="3" s="1"/>
  <c r="H38" i="3"/>
  <c r="L156" i="3" l="1"/>
  <c r="E40" i="3"/>
  <c r="E50" i="3" s="1"/>
  <c r="E169" i="3"/>
  <c r="E160" i="3"/>
  <c r="K128" i="3"/>
  <c r="E112" i="3"/>
  <c r="E113" i="3"/>
  <c r="K125" i="3"/>
  <c r="L112" i="3"/>
  <c r="K92" i="3"/>
  <c r="D163" i="3"/>
  <c r="D76" i="3"/>
  <c r="D169" i="3"/>
  <c r="L165" i="3"/>
  <c r="L80" i="3"/>
  <c r="E120" i="3"/>
  <c r="E80" i="3"/>
  <c r="E133" i="3"/>
  <c r="L169" i="3"/>
  <c r="C134" i="3"/>
  <c r="L93" i="3"/>
  <c r="E81" i="3"/>
  <c r="L84" i="3"/>
  <c r="L109" i="3"/>
  <c r="D103" i="3"/>
  <c r="K109" i="3"/>
  <c r="D173" i="3"/>
  <c r="L77" i="3"/>
  <c r="C168" i="3"/>
  <c r="D96" i="3"/>
  <c r="B37" i="3"/>
  <c r="G37" i="3" s="1"/>
  <c r="B40" i="3" s="1"/>
  <c r="K93" i="3"/>
  <c r="K165" i="3"/>
  <c r="E121" i="3"/>
  <c r="E77" i="3"/>
  <c r="C135" i="3"/>
  <c r="C20" i="3"/>
  <c r="L121" i="3"/>
  <c r="E105" i="3"/>
  <c r="K153" i="3"/>
  <c r="C99" i="3"/>
  <c r="C149" i="3"/>
  <c r="K136" i="3"/>
  <c r="L81" i="3"/>
  <c r="L161" i="3"/>
  <c r="K173" i="3"/>
  <c r="L153" i="3"/>
  <c r="D139" i="3"/>
  <c r="C112" i="3"/>
  <c r="E124" i="3"/>
  <c r="L124" i="3"/>
  <c r="E148" i="3"/>
  <c r="D89" i="3"/>
  <c r="E84" i="3"/>
  <c r="K105" i="3"/>
  <c r="E144" i="3"/>
  <c r="E88" i="3"/>
  <c r="E96" i="3"/>
  <c r="L88" i="3"/>
  <c r="F65" i="3"/>
  <c r="J319" i="3"/>
  <c r="L141" i="3"/>
  <c r="L116" i="3"/>
  <c r="K141" i="3"/>
  <c r="L152" i="3"/>
  <c r="K117" i="3"/>
  <c r="K76" i="3"/>
  <c r="E76" i="3"/>
  <c r="E168" i="3"/>
  <c r="L128" i="3"/>
  <c r="D127" i="3"/>
  <c r="C126" i="3"/>
  <c r="D130" i="3"/>
  <c r="D154" i="3"/>
  <c r="C163" i="3"/>
  <c r="C92" i="3"/>
  <c r="C128" i="3"/>
  <c r="D109" i="3"/>
  <c r="C109" i="3"/>
  <c r="C91" i="3"/>
  <c r="C118" i="3"/>
  <c r="D155" i="3"/>
  <c r="C131" i="3"/>
  <c r="K172" i="3"/>
  <c r="L172" i="3"/>
  <c r="E172" i="3"/>
  <c r="F185" i="3" a="1"/>
  <c r="F185" i="3" s="1"/>
  <c r="A186" i="3"/>
  <c r="G185" i="3"/>
  <c r="C123" i="3"/>
  <c r="C107" i="3"/>
  <c r="D137" i="3"/>
  <c r="C117" i="3"/>
  <c r="D124" i="3"/>
  <c r="D148" i="3"/>
  <c r="C154" i="3"/>
  <c r="D125" i="3"/>
  <c r="C173" i="3"/>
  <c r="D107" i="3"/>
  <c r="C93" i="3"/>
  <c r="D84" i="3"/>
  <c r="D116" i="3"/>
  <c r="C122" i="3"/>
  <c r="G15" i="3"/>
  <c r="C115" i="3"/>
  <c r="C110" i="3"/>
  <c r="C141" i="3"/>
  <c r="C148" i="3"/>
  <c r="C114" i="3"/>
  <c r="D171" i="3"/>
  <c r="C96" i="3"/>
  <c r="C77" i="3"/>
  <c r="C102" i="3"/>
  <c r="D120" i="3"/>
  <c r="C157" i="3"/>
  <c r="F15" i="3"/>
  <c r="D110" i="3"/>
  <c r="C94" i="3"/>
  <c r="D108" i="3"/>
  <c r="D145" i="3"/>
  <c r="D112" i="3"/>
  <c r="D162" i="3"/>
  <c r="D93" i="3"/>
  <c r="C75" i="3"/>
  <c r="D100" i="3"/>
  <c r="H183" i="3"/>
  <c r="D183" i="3" s="1"/>
  <c r="D88" i="3"/>
  <c r="C174" i="3"/>
  <c r="C101" i="3"/>
  <c r="C78" i="3"/>
  <c r="D92" i="3"/>
  <c r="C139" i="3"/>
  <c r="H182" i="3"/>
  <c r="D182" i="3" s="1"/>
  <c r="C98" i="3"/>
  <c r="D156" i="3"/>
  <c r="D91" i="3"/>
  <c r="D166" i="3"/>
  <c r="C86" i="3"/>
  <c r="I181" i="3"/>
  <c r="E181" i="3" s="1"/>
  <c r="D165" i="3"/>
  <c r="D94" i="3"/>
  <c r="G16" i="3"/>
  <c r="E20" i="3" s="1"/>
  <c r="D87" i="3"/>
  <c r="C124" i="3"/>
  <c r="C167" i="3"/>
  <c r="C82" i="3"/>
  <c r="D147" i="3"/>
  <c r="D77" i="3"/>
  <c r="C171" i="3"/>
  <c r="C153" i="3"/>
  <c r="C164" i="3"/>
  <c r="K152" i="3"/>
  <c r="K104" i="3"/>
  <c r="E104" i="3"/>
  <c r="C80" i="3"/>
  <c r="C170" i="3"/>
  <c r="C159" i="3"/>
  <c r="C85" i="3"/>
  <c r="C76" i="3"/>
  <c r="D121" i="3"/>
  <c r="C158" i="3"/>
  <c r="D80" i="3"/>
  <c r="D138" i="3"/>
  <c r="D75" i="3"/>
  <c r="C162" i="3"/>
  <c r="D151" i="3"/>
  <c r="D161" i="3"/>
  <c r="K100" i="3"/>
  <c r="E100" i="3"/>
  <c r="D160" i="3"/>
  <c r="C150" i="3"/>
  <c r="C83" i="3"/>
  <c r="D119" i="3"/>
  <c r="C152" i="3"/>
  <c r="D118" i="3"/>
  <c r="D132" i="3"/>
  <c r="C156" i="3"/>
  <c r="D153" i="3"/>
  <c r="D142" i="3"/>
  <c r="I183" i="3"/>
  <c r="E183" i="3" s="1"/>
  <c r="C155" i="3"/>
  <c r="K168" i="3"/>
  <c r="C144" i="3"/>
  <c r="D78" i="3"/>
  <c r="I184" i="3"/>
  <c r="E184" i="3" s="1"/>
  <c r="H184" i="3"/>
  <c r="D184" i="3" s="1"/>
  <c r="C108" i="3"/>
  <c r="D149" i="3"/>
  <c r="D102" i="3"/>
  <c r="C125" i="3"/>
  <c r="C147" i="3"/>
  <c r="C138" i="3"/>
  <c r="D136" i="3"/>
  <c r="D170" i="3"/>
  <c r="C146" i="3"/>
  <c r="K144" i="3"/>
  <c r="L104" i="3"/>
  <c r="D141" i="3"/>
  <c r="C165" i="3"/>
  <c r="D172" i="3"/>
  <c r="C172" i="3"/>
  <c r="D105" i="3"/>
  <c r="C143" i="3"/>
  <c r="D86" i="3"/>
  <c r="D123" i="3"/>
  <c r="C132" i="3"/>
  <c r="D129" i="3"/>
  <c r="C129" i="3"/>
  <c r="D164" i="3"/>
  <c r="C140" i="3"/>
  <c r="L164" i="3"/>
  <c r="K164" i="3"/>
  <c r="E164" i="3"/>
  <c r="L140" i="3"/>
  <c r="K140" i="3"/>
  <c r="E140" i="3"/>
  <c r="L157" i="3"/>
  <c r="K108" i="3"/>
  <c r="L108" i="3"/>
  <c r="E108" i="3"/>
  <c r="K157" i="3"/>
  <c r="K133" i="3"/>
  <c r="L117" i="3"/>
  <c r="C106" i="3"/>
  <c r="F16" i="3"/>
  <c r="D20" i="3" s="1"/>
  <c r="C160" i="3"/>
  <c r="D133" i="3"/>
  <c r="D128" i="3"/>
  <c r="C116" i="3"/>
  <c r="C104" i="3"/>
  <c r="D95" i="3"/>
  <c r="D106" i="3"/>
  <c r="C95" i="3"/>
  <c r="D85" i="3"/>
  <c r="C127" i="3"/>
  <c r="D115" i="3"/>
  <c r="C97" i="3"/>
  <c r="C133" i="3"/>
  <c r="C121" i="3"/>
  <c r="H181" i="3"/>
  <c r="D181" i="3" s="1"/>
  <c r="D174" i="3"/>
  <c r="D150" i="3"/>
  <c r="C136" i="3"/>
  <c r="D97" i="3"/>
  <c r="D82" i="3"/>
  <c r="C103" i="3"/>
  <c r="D159" i="3"/>
  <c r="D168" i="3"/>
  <c r="C161" i="3"/>
  <c r="C100" i="3"/>
  <c r="C88" i="3"/>
  <c r="D79" i="3"/>
  <c r="C137" i="3"/>
  <c r="D114" i="3"/>
  <c r="D146" i="3"/>
  <c r="D144" i="3"/>
  <c r="D135" i="3"/>
  <c r="D117" i="3"/>
  <c r="C105" i="3"/>
  <c r="D90" i="3"/>
  <c r="C79" i="3"/>
  <c r="D81" i="3"/>
  <c r="D152" i="3"/>
  <c r="D143" i="3"/>
  <c r="C120" i="3"/>
  <c r="C84" i="3"/>
  <c r="D158" i="3"/>
  <c r="D126" i="3"/>
  <c r="D167" i="3"/>
  <c r="D99" i="3"/>
  <c r="C87" i="3"/>
  <c r="C81" i="3"/>
  <c r="C169" i="3"/>
  <c r="D134" i="3"/>
  <c r="D111" i="3"/>
  <c r="C145" i="3"/>
  <c r="D122" i="3"/>
  <c r="C111" i="3"/>
  <c r="D101" i="3"/>
  <c r="C89" i="3"/>
  <c r="I182" i="3"/>
  <c r="E182" i="3" s="1"/>
  <c r="C166" i="3"/>
  <c r="D157" i="3"/>
  <c r="D140" i="3"/>
  <c r="D113" i="3"/>
  <c r="D98" i="3"/>
  <c r="C151" i="3"/>
  <c r="C142" i="3"/>
  <c r="D131" i="3"/>
  <c r="C119" i="3"/>
  <c r="C113" i="3"/>
  <c r="D83" i="3"/>
  <c r="D104" i="3"/>
  <c r="G24" i="3"/>
  <c r="G11" i="3"/>
  <c r="C45" i="3"/>
  <c r="C47" i="3" s="1"/>
  <c r="H40" i="3"/>
  <c r="D50" i="3" s="1"/>
  <c r="L163" i="3"/>
  <c r="K163" i="3"/>
  <c r="E163" i="3"/>
  <c r="L166" i="3"/>
  <c r="K166" i="3"/>
  <c r="E166" i="3"/>
  <c r="L118" i="3"/>
  <c r="K118" i="3"/>
  <c r="E118" i="3"/>
  <c r="L115" i="3"/>
  <c r="K115" i="3"/>
  <c r="E115" i="3"/>
  <c r="L159" i="3"/>
  <c r="K159" i="3"/>
  <c r="E159" i="3"/>
  <c r="D70" i="3"/>
  <c r="L75" i="3"/>
  <c r="C70" i="3"/>
  <c r="K75" i="3"/>
  <c r="E75" i="3"/>
  <c r="L83" i="3"/>
  <c r="K83" i="3"/>
  <c r="E83" i="3"/>
  <c r="L162" i="3"/>
  <c r="K162" i="3"/>
  <c r="E162" i="3"/>
  <c r="L114" i="3"/>
  <c r="K114" i="3"/>
  <c r="E114" i="3"/>
  <c r="L111" i="3"/>
  <c r="K111" i="3"/>
  <c r="E111" i="3"/>
  <c r="L155" i="3"/>
  <c r="K155" i="3"/>
  <c r="E155" i="3"/>
  <c r="L119" i="3"/>
  <c r="K119" i="3"/>
  <c r="E119" i="3"/>
  <c r="L158" i="3"/>
  <c r="K158" i="3"/>
  <c r="E158" i="3"/>
  <c r="L110" i="3"/>
  <c r="K110" i="3"/>
  <c r="E110" i="3"/>
  <c r="L103" i="3"/>
  <c r="K103" i="3"/>
  <c r="E103" i="3"/>
  <c r="L151" i="3"/>
  <c r="K151" i="3"/>
  <c r="E151" i="3"/>
  <c r="L106" i="3"/>
  <c r="K106" i="3"/>
  <c r="E106" i="3"/>
  <c r="L99" i="3"/>
  <c r="K99" i="3"/>
  <c r="E99" i="3"/>
  <c r="L147" i="3"/>
  <c r="K147" i="3"/>
  <c r="E147" i="3"/>
  <c r="L154" i="3"/>
  <c r="K154" i="3"/>
  <c r="E154" i="3"/>
  <c r="L150" i="3"/>
  <c r="K150" i="3"/>
  <c r="E150" i="3"/>
  <c r="L102" i="3"/>
  <c r="K102" i="3"/>
  <c r="E102" i="3"/>
  <c r="L95" i="3"/>
  <c r="K95" i="3"/>
  <c r="E95" i="3"/>
  <c r="L143" i="3"/>
  <c r="K143" i="3"/>
  <c r="E143" i="3"/>
  <c r="L146" i="3"/>
  <c r="K146" i="3"/>
  <c r="E146" i="3"/>
  <c r="L98" i="3"/>
  <c r="K98" i="3"/>
  <c r="E98" i="3"/>
  <c r="L91" i="3"/>
  <c r="K91" i="3"/>
  <c r="E91" i="3"/>
  <c r="L139" i="3"/>
  <c r="K139" i="3"/>
  <c r="E139" i="3"/>
  <c r="L170" i="3"/>
  <c r="K170" i="3"/>
  <c r="E170" i="3"/>
  <c r="L142" i="3"/>
  <c r="K142" i="3"/>
  <c r="E142" i="3"/>
  <c r="L94" i="3"/>
  <c r="K94" i="3"/>
  <c r="E94" i="3"/>
  <c r="L87" i="3"/>
  <c r="K87" i="3"/>
  <c r="E87" i="3"/>
  <c r="L135" i="3"/>
  <c r="K135" i="3"/>
  <c r="E135" i="3"/>
  <c r="L122" i="3"/>
  <c r="K122" i="3"/>
  <c r="E122" i="3"/>
  <c r="L138" i="3"/>
  <c r="K138" i="3"/>
  <c r="E138" i="3"/>
  <c r="L90" i="3"/>
  <c r="K90" i="3"/>
  <c r="E90" i="3"/>
  <c r="L79" i="3"/>
  <c r="K79" i="3"/>
  <c r="E79" i="3"/>
  <c r="L131" i="3"/>
  <c r="K131" i="3"/>
  <c r="E131" i="3"/>
  <c r="L134" i="3"/>
  <c r="K134" i="3"/>
  <c r="E134" i="3"/>
  <c r="L86" i="3"/>
  <c r="K86" i="3"/>
  <c r="E86" i="3"/>
  <c r="L127" i="3"/>
  <c r="K127" i="3"/>
  <c r="E127" i="3"/>
  <c r="L130" i="3"/>
  <c r="K130" i="3"/>
  <c r="E130" i="3"/>
  <c r="L82" i="3"/>
  <c r="K82" i="3"/>
  <c r="E82" i="3"/>
  <c r="L171" i="3"/>
  <c r="K171" i="3"/>
  <c r="E171" i="3"/>
  <c r="L123" i="3"/>
  <c r="K123" i="3"/>
  <c r="E123" i="3"/>
  <c r="L174" i="3"/>
  <c r="K174" i="3"/>
  <c r="E174" i="3"/>
  <c r="L126" i="3"/>
  <c r="K126" i="3"/>
  <c r="E126" i="3"/>
  <c r="L78" i="3"/>
  <c r="K78" i="3"/>
  <c r="E78" i="3"/>
  <c r="L167" i="3"/>
  <c r="K167" i="3"/>
  <c r="E167" i="3"/>
  <c r="L107" i="3"/>
  <c r="K107" i="3"/>
  <c r="E107" i="3"/>
  <c r="H70" i="3" l="1"/>
  <c r="C185" i="3"/>
  <c r="I185" i="3"/>
  <c r="E185" i="3" s="1"/>
  <c r="H185" i="3"/>
  <c r="D185" i="3" s="1"/>
  <c r="A187" i="3"/>
  <c r="G186" i="3"/>
  <c r="F186" i="3" a="1"/>
  <c r="F186" i="3" s="1"/>
  <c r="B69" i="3"/>
  <c r="C68" i="3"/>
  <c r="B70" i="3"/>
  <c r="G70" i="3" s="1"/>
  <c r="I70" i="3" s="1"/>
  <c r="C186" i="3" l="1"/>
  <c r="H186" i="3"/>
  <c r="D186" i="3" s="1"/>
  <c r="I186" i="3"/>
  <c r="E186" i="3" s="1"/>
  <c r="A188" i="3"/>
  <c r="G187" i="3"/>
  <c r="F187" i="3" a="1"/>
  <c r="F187" i="3" s="1"/>
  <c r="H68" i="3"/>
  <c r="B68" i="3"/>
  <c r="G68" i="3" s="1"/>
  <c r="C69" i="3"/>
  <c r="H69" i="3" s="1"/>
  <c r="G69" i="3"/>
  <c r="I69" i="3" s="1"/>
  <c r="C187" i="3" l="1"/>
  <c r="H187" i="3"/>
  <c r="D187" i="3" s="1"/>
  <c r="I187" i="3"/>
  <c r="E187" i="3" s="1"/>
  <c r="F188" i="3" a="1"/>
  <c r="F188" i="3" s="1"/>
  <c r="A189" i="3"/>
  <c r="G188" i="3"/>
  <c r="E71" i="3"/>
  <c r="I68" i="3"/>
  <c r="H71" i="3" s="1"/>
  <c r="B71" i="3"/>
  <c r="F189" i="3" l="1" a="1"/>
  <c r="F189" i="3" s="1"/>
  <c r="A190" i="3"/>
  <c r="G189" i="3"/>
  <c r="C188" i="3"/>
  <c r="I188" i="3"/>
  <c r="E188" i="3" s="1"/>
  <c r="H188" i="3"/>
  <c r="D188" i="3" s="1"/>
  <c r="A191" i="3" l="1"/>
  <c r="G190" i="3"/>
  <c r="F190" i="3" a="1"/>
  <c r="F190" i="3" s="1"/>
  <c r="C189" i="3"/>
  <c r="H189" i="3"/>
  <c r="D189" i="3" s="1"/>
  <c r="I189" i="3"/>
  <c r="E189" i="3" s="1"/>
  <c r="C190" i="3" l="1"/>
  <c r="I190" i="3"/>
  <c r="E190" i="3" s="1"/>
  <c r="H190" i="3"/>
  <c r="D190" i="3" s="1"/>
  <c r="F191" i="3" a="1"/>
  <c r="F191" i="3" s="1"/>
  <c r="A192" i="3"/>
  <c r="G191" i="3"/>
  <c r="F192" i="3" l="1" a="1"/>
  <c r="F192" i="3" s="1"/>
  <c r="A193" i="3"/>
  <c r="G192" i="3"/>
  <c r="C191" i="3"/>
  <c r="H191" i="3"/>
  <c r="D191" i="3" s="1"/>
  <c r="I191" i="3"/>
  <c r="E191" i="3" s="1"/>
  <c r="C192" i="3" l="1"/>
  <c r="H192" i="3"/>
  <c r="D192" i="3" s="1"/>
  <c r="I192" i="3"/>
  <c r="E192" i="3" s="1"/>
  <c r="G193" i="3"/>
  <c r="F193" i="3" a="1"/>
  <c r="F193" i="3" s="1"/>
  <c r="C193" i="3" l="1"/>
  <c r="H193" i="3"/>
  <c r="D193" i="3" s="1"/>
  <c r="I193" i="3"/>
  <c r="E19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FacDS - Bob Nau</author>
  </authors>
  <commentList>
    <comment ref="B1" authorId="0" shapeId="0" xr:uid="{00000000-0006-0000-0100-000001000000}">
      <text>
        <r>
          <rPr>
            <sz val="9"/>
            <color indexed="81"/>
            <rFont val="Tahoma"/>
            <family val="2"/>
          </rPr>
          <t>Model 1 (#vars=1, n=100, AdjRsq=0.368)
Dependent variable = Y 
Run time = 8/23/2019 1:33:54 PM
File name = Logistic_example_Y_vs_X1.xlsx
Computer name = FACDS414
Program file name = RegressItLogistic
Version number = 2019.07.08
Execution time = 00h:00m:12s</t>
        </r>
      </text>
    </comment>
    <comment ref="B10" authorId="0" shapeId="0" xr:uid="{00000000-0006-0000-0100-000002000000}">
      <text>
        <r>
          <rPr>
            <sz val="9"/>
            <color indexed="81"/>
            <rFont val="Tahoma"/>
            <family val="2"/>
          </rPr>
          <t>In a logistic regression model, R-squared is the estimated fraction
of *deviance* explained by the model, in comparison to a null model
that has no independent variables.   Deviance is equal to minus-2 times
the log likelihood function, which is analogous to error variance in
a linear regression model, and the estimation of model coefficients
is based on minimization of this quantity (i.e., maximization of the
likelihood).  There is more than one way to define R-squared for a
logistic regression model.   McFadden's definition, shown in this cell,
has exactly the same functional form as R-squared in a linear model,
with variance merely replaced by deviance.    See the analysis-of-deviance
table below for more details of this calculation as well as those of
several other R-squared definitions.</t>
        </r>
      </text>
    </comment>
    <comment ref="C10" authorId="0" shapeId="0" xr:uid="{00000000-0006-0000-0100-000003000000}">
      <text>
        <r>
          <rPr>
            <sz val="9"/>
            <color indexed="81"/>
            <rFont val="Tahoma"/>
            <family val="2"/>
          </rPr>
          <t>Adjusted R-squared is a less-biased estimate of the fraction of deviance
explained by the logistic model, and it is obtained from R-squared
by an adjustment that takes into account the number of independent
variables in the model, as in the case of linear regression.</t>
        </r>
      </text>
    </comment>
    <comment ref="D10" authorId="0" shapeId="0" xr:uid="{00000000-0006-0000-0100-000004000000}">
      <text>
        <r>
          <rPr>
            <sz val="9"/>
            <color indexed="81"/>
            <rFont val="Tahoma"/>
            <family val="2"/>
          </rPr>
          <t>Root-mean-squared-error is a measure of the typical size of the errors
that the model makes in predicting  0's and 1's in units of probability,
and it plays a role analogous to the standard error of the regression
in a linear regression model.  A predicted probability of p yields
an error of p if the true outcome is 0 and an error of 1-p if the true
outcome is 1, and RMSE is the square root of the average squared value
of such errors.   If the model includes a constant, the mean value
of its errors is zero (i.e., it is unbiased) and its RMSE is the same
as the population standard deviation of its errors.</t>
        </r>
      </text>
    </comment>
    <comment ref="E10" authorId="0" shapeId="0" xr:uid="{00000000-0006-0000-0100-000005000000}">
      <text>
        <r>
          <rPr>
            <sz val="9"/>
            <color indexed="81"/>
            <rFont val="Tahoma"/>
            <family val="2"/>
          </rPr>
          <t>The value in the cell below is the mean value of the dependent variable,
i.e., the fraction of outcomes that are 1's.  In a constant-only model,
this would be the prediction given for all observations of the dependent
variable, as in the case of linear regression.</t>
        </r>
      </text>
    </comment>
    <comment ref="A14" authorId="0" shapeId="0" xr:uid="{00000000-0006-0000-0100-000006000000}">
      <text>
        <r>
          <rPr>
            <sz val="9"/>
            <color indexed="81"/>
            <rFont val="Tahoma"/>
            <family val="2"/>
          </rPr>
          <t xml:space="preserve">In a logistic regression model, a linear function of the independent
variables is used to predict the LogOdds of the event that the dependent
variable will have a value of 1 rather than 0. LogOdds is equal to
LN(p/(1-p)) for an event with probability p, where LN is the natural
log function.  It is equal to zero if p=0.5 and approaches negative
or positive infinity as p goes to 0 or 1.  The value of LogOdds predicted
by the linear equation is then converted to units of probability by
the inverse transformation: p = 1/(1+exp(-LogOdds)).  The formulas
for these calculations are shown in rows 6 and 7 at the top left of
the worksheet:  you can unhide these rows by clicking the + symbol
in the sidebar. </t>
        </r>
      </text>
    </comment>
    <comment ref="B14" authorId="0" shapeId="0" xr:uid="{00000000-0006-0000-0100-000007000000}">
      <text>
        <r>
          <rPr>
            <sz val="9"/>
            <color indexed="81"/>
            <rFont val="Tahoma"/>
            <family val="2"/>
          </rPr>
          <t>The coefficient table of a logistic regression model has exactly the
same structure as that of a linear regression model.  Each estimated
coefficient has an associated standard error, which is the (estimated)
standard deviation of the error in the coefficient estimate.</t>
        </r>
      </text>
    </comment>
    <comment ref="D14" authorId="0" shapeId="0" xr:uid="{00000000-0006-0000-0100-000008000000}">
      <text>
        <r>
          <rPr>
            <sz val="9"/>
            <color indexed="81"/>
            <rFont val="Tahoma"/>
            <family val="2"/>
          </rPr>
          <t>The coefficient estimate divided by its own standard error is its z-statistic,
which is analogous to a t-statistic in a linear model and is subject
to the same rules of thumb.  In particular, a coefficient estimate
is significantly different from zero at approximately the 0.05 level
if its z-statistic is greater than 2 in magnitude.</t>
        </r>
      </text>
    </comment>
    <comment ref="E14" authorId="0" shapeId="0" xr:uid="{00000000-0006-0000-0100-000009000000}">
      <text>
        <r>
          <rPr>
            <sz val="9"/>
            <color indexed="81"/>
            <rFont val="Tahoma"/>
            <family val="2"/>
          </rPr>
          <t xml:space="preserve">The exact P-value for measuring the significance of the coefficient's
difference from zero is determined from a standard normal (z) distribution
rather than the t distribution that is used for this purpose in linear
regression, as shown the cell formulas in this column.   The z distribution
is used for this calculation because in a logistic model there is no
analogous adjustment for the number of coefficients estimated from
a sample of a given size. </t>
        </r>
      </text>
    </comment>
    <comment ref="A23" authorId="0" shapeId="0" xr:uid="{00000000-0006-0000-0100-00000A000000}">
      <text>
        <r>
          <rPr>
            <sz val="9"/>
            <color indexed="81"/>
            <rFont val="Tahoma"/>
            <family val="2"/>
          </rPr>
          <t>The analysis of deviance table is analogous to the analysis of variance
table in a linear model.  Deviance is equal to minus-2 times the log
likelihood function, and it plays a role analogous to that of the variance
of the dependent variable in a linear regression model.  In this table,
the deviance of a null (no-independent-variable) model is decomposed
into the sum of an explained (regression) part and an unexplained (residual)
part.  The regression deviance divided by the null deviance is McFadden's
R-squared.</t>
        </r>
      </text>
    </comment>
    <comment ref="E23" authorId="0" shapeId="0" xr:uid="{00000000-0006-0000-0100-00000B000000}">
      <text>
        <r>
          <rPr>
            <sz val="9"/>
            <color indexed="81"/>
            <rFont val="Tahoma"/>
            <family val="2"/>
          </rPr>
          <t>The P-value for the significance of the model as a whole is determined
from the regression deviance by reference to a chi-squared distribution
whose number of degrees of freedom is the number of model coefficients.
  Thus, the chi-squared distribution plays a role here that is analogous
to that of the F distribution in the analysis of variance table for
a linear regression model.</t>
        </r>
      </text>
    </comment>
    <comment ref="F23" authorId="0" shapeId="0" xr:uid="{00000000-0006-0000-0100-00000C000000}">
      <text>
        <r>
          <rPr>
            <sz val="9"/>
            <color indexed="81"/>
            <rFont val="Tahoma"/>
            <family val="2"/>
          </rPr>
          <t>The Akaike information criterion (AIC) is a measure of the information
lost by using the fitted model rather than the unknown true model to
predict the dependent variable. It is a measure of goodness of fit
that includes a penalty for the number of model parameters, and it
is widely used in machine learning.  The formula for the AIC is 2 times
k minus two times the log likelihood, where k is the number of model
parameters, including constant.
In the case of a  linear regression model with normally distributed
errors, choosing the model with the largest AIC is equivalent to choosing
the model with the smallest value of k + n*LN(RSS) where n is the sample
size and RSS is the sum of squared residuals.
This is a useful model-comparison statistic but it will not necessarily
pick the best model for your decision purposes or even a good one if
the data or the model set is poorly chosen.  You should also study
other properties of your models to fully understand their assumptions
and their validity and their appropriateness for your task.</t>
        </r>
      </text>
    </comment>
    <comment ref="G23" authorId="0" shapeId="0" xr:uid="{00000000-0006-0000-0100-00000D000000}">
      <text>
        <r>
          <rPr>
            <sz val="9"/>
            <color indexed="81"/>
            <rFont val="Tahoma"/>
            <family val="2"/>
          </rPr>
          <t>The area under the ROC curve is a measure of the model's classification
accuracy over the whole range of cutoff values that might be used to
convert a probabilistic prediction into a 0-1 prediction.  It has a
maximum possible value of 1.0 (corresponding to perfect accuracy in
predicting both positive and negative outcomes) and a minimum possible
value of 0.5 (corresponding to random predictions).</t>
        </r>
      </text>
    </comment>
    <comment ref="A33" authorId="0" shapeId="0" xr:uid="{00000000-0006-0000-0100-00000E000000}">
      <text>
        <r>
          <rPr>
            <sz val="9"/>
            <color indexed="81"/>
            <rFont val="Tahoma"/>
            <family val="2"/>
          </rPr>
          <t>The classification table shows the absolute and relative numbers of
correct predictions and false-positive and false-negative errors for
a given cutoff level that might be used to convert probabilistic predictions
to binary (0-1) predictions.  On this worksheet, the classification
table is interactive.  Use the spinner at the right to vary the cutoff
level in increments of 0.05 and watch how the numbers change.  To get
a finer scale, you can enter your own values in the cutoff level cell
in increments of 0.01.  The source data for classification is stored
in a table at the far right, beginning in column AP.
The true positive rate is the number of correctly predicted positive
outcomes (1's) divided by the total number of positive outcomes, as
seen in the cell formula.  The true negative rate is the number of
correctly predicted negative outcomes (0's) divided by the total number
of negative outcomes.</t>
        </r>
      </text>
    </comment>
    <comment ref="A42" authorId="0" shapeId="0" xr:uid="{00000000-0006-0000-0100-00000F000000}">
      <text>
        <r>
          <rPr>
            <sz val="9"/>
            <color indexed="81"/>
            <rFont val="Tahoma"/>
            <family val="2"/>
          </rPr>
          <t>The ROC curve is a graph of the true positive rate versus the false
positive rate (1 minus the true negative rate) as a function of the
cutoff level used for binary classification.  Thus, it sweeps out the
frontier of the error rates that are computed in the classification
table as the cutoff level is varied.  Ideally the area under the ROC
curve is close to 1, i.e., the curve bends far into the upper left
of the square. In the worse case (a completely uninformative model),
the curve is the 45-degree line, under which the area is 0.5. This
chart is also interactive on this worksheet: use the spinner to vary
the cutoff level and watch the movement of the red box along the curve.</t>
        </r>
      </text>
    </comment>
    <comment ref="A64" authorId="0" shapeId="0" xr:uid="{00000000-0006-0000-0100-000010000000}">
      <text>
        <r>
          <rPr>
            <sz val="9"/>
            <color indexed="81"/>
            <rFont val="Tahoma"/>
            <family val="2"/>
          </rPr>
          <t>If the out-of-sample-test option has been used and a test variable
with held-out values of the dependent variable has been specifiied,
this table shows the model's classification performance on the test
data.  Ideally the error rates are comparable to those for the sample
data to which the model was fitted.  The cutoff level used in this
table can also be interactively adjusted.</t>
        </r>
      </text>
    </comment>
    <comment ref="A73" authorId="0" shapeId="0" xr:uid="{00000000-0006-0000-0100-000011000000}">
      <text>
        <r>
          <rPr>
            <sz val="9"/>
            <color indexed="81"/>
            <rFont val="Tahoma"/>
            <family val="2"/>
          </rPr>
          <t>The forecast table shows the model's forecasts for values of the dependent
variable in rows of the data set for which values of all the independent
variables are present and the value of the dependent variable is missing.
 Forecasts are shown both in probabilistic and binary terms, where
the cutoff value that is used for binary predictions is the same as
the one in the out-of-sample classification table.  Use the spinner
to vary the cutoff level and watch how the predictions change.  If
test values are available for the out-of-sample forecasts, they are
also shown in the forecast table.</t>
        </r>
      </text>
    </comment>
    <comment ref="G74" authorId="0" shapeId="0" xr:uid="{00000000-0006-0000-0100-000012000000}">
      <text>
        <r>
          <rPr>
            <sz val="9"/>
            <color indexed="81"/>
            <rFont val="Tahoma"/>
            <family val="2"/>
          </rPr>
          <t>Paste actual values in this column to compute out-of-sample error stats.</t>
        </r>
      </text>
    </comment>
    <comment ref="A176" authorId="0" shapeId="0" xr:uid="{00000000-0006-0000-0100-000013000000}">
      <text>
        <r>
          <rPr>
            <sz val="9"/>
            <color indexed="81"/>
            <rFont val="Tahoma"/>
            <family val="2"/>
          </rPr>
          <t>The logistic curve plot shows the model's probabilistic predictions
for the dependent variable as a function of a selected independent
variable, holding other variables (if any) fixed at their mean values.
  This chart gives a nice visual representation of the predictive importance
of a variable.  Ideally it is S-shaped or reverse-S-shaped (rather
than flat) with relatively narrow confidence bands, indicating that
the selected independent variable is highly informative in predicting
outcomes.  Be aware, though, that if some of the independent variables
are themselves binary, it is not possible to set them equal to their
mean values or to abitrary values within their range.  In such a case
the logistic curve and confidence bands that surround it cannot be
interpreted to represent forecasts for specific scenarios.  Rather,
they represent the model's average forecasts within a hypothetical
large population of scenarios.
In this 1-variable model, the calculations of points on the curve are
in a table hidden behind the chart.  Drag the chart to the right to
see them.</t>
        </r>
      </text>
    </comment>
    <comment ref="A199" authorId="0" shapeId="0" xr:uid="{00000000-0006-0000-0100-000014000000}">
      <text>
        <r>
          <rPr>
            <sz val="9"/>
            <color indexed="81"/>
            <rFont val="Tahoma"/>
            <family val="2"/>
          </rPr>
          <t>The distribution-of-outcomes plot provides another view of the model's
predictive accuracy.  It consists of back-to-back histogram plots showing
distributions of the probabilistic predictions that were made for the
outcomes that turned out to be positive and those that turned out to
be negative.  Ideally the negative outcomes were associated with small
predicted probabilities (i.e., the negative bars are shifted toward
the left) and the positive outcomes were associated with large predicted
probabilities (i.e., the positive bars are shifted toward the right).
 If the distributions of predictions are the same for positive and
negative outcomes (i.e., if the relative shapes of the two distributions
are the same above and below the x-axis) and/or if the predictions
all fall within the same narrow range, the model does not have much
predictive value.</t>
        </r>
      </text>
    </comment>
    <comment ref="A221" authorId="0" shapeId="0" xr:uid="{00000000-0006-0000-0100-000015000000}">
      <text>
        <r>
          <rPr>
            <sz val="9"/>
            <color indexed="81"/>
            <rFont val="Tahoma"/>
            <family val="2"/>
          </rPr>
          <t>The actual-and-predicted-vs-observation# chart shows the model's predictions
and the actual values that were observed by row order in the data set.
  It can help to show whether the data has been sorted or grouped in
some way that depends on the outcomes or predictions, or whether it
is randomly ordered.  It has the following relation to the distribution-of-outcomes
chart.  If you turn this chart on its right side and let the red and
blue points fall into separate bins at the bottom, you get the other
chart.</t>
        </r>
      </text>
    </comment>
    <comment ref="A243" authorId="0" shapeId="0" xr:uid="{00000000-0006-0000-0100-000016000000}">
      <text>
        <r>
          <rPr>
            <sz val="9"/>
            <color indexed="81"/>
            <rFont val="Tahoma"/>
            <family val="2"/>
          </rPr>
          <t>The sensitivity-and-specificity-vs-cutoff-value chart provides another
view of the model's classification accuracy as measured in terms of
sensitivity and specificity.  It is another way to visualize the same
information that is shown in the ROC curve.  On this chart, the spinner
can be used to adjust a weight that is used to compute a weighted average
of the two performance measures, which might help to determine a cutoff
value that makes an optimal tradeoff between the two.  A higher value
is better in these terms.</t>
        </r>
      </text>
    </comment>
    <comment ref="A266" authorId="0" shapeId="0" xr:uid="{00000000-0006-0000-0100-000017000000}">
      <text>
        <r>
          <rPr>
            <sz val="9"/>
            <color indexed="81"/>
            <rFont val="Tahoma"/>
            <family val="2"/>
          </rPr>
          <t xml:space="preserve"> The error-rate-versus-cutoff-value chart provides yet another view
of the model's classification accuracy.  Here the spinner can be adjusted
to vary the weight used in a weighted average of false positive and
false negative error rates.  A lower value is better in these terms.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FacDS - Bob Nau</author>
  </authors>
  <commentList>
    <comment ref="B4" authorId="0" shapeId="0" xr:uid="{00000000-0006-0000-0200-000001000000}">
      <text>
        <r>
          <rPr>
            <sz val="9"/>
            <color indexed="81"/>
            <rFont val="Tahoma"/>
            <family val="2"/>
          </rPr>
          <t>Model 1 (#vars=1, n=100, AdjRsq=0.368)
Dependent variable = Y 
Run time = 8/23/2019 1:33:54 PM
File name = Logistic_example_Y_vs_X1.xlsx
Computer name = FACDS414
Program file name = RegressItLogistic
Version number = 2019.07.08
Execution time = 00h:00m:12s</t>
        </r>
      </text>
    </comment>
    <comment ref="B10" authorId="0" shapeId="0" xr:uid="{00000000-0006-0000-0200-000002000000}">
      <text>
        <r>
          <rPr>
            <sz val="9"/>
            <color indexed="81"/>
            <rFont val="Tahoma"/>
            <family val="2"/>
          </rPr>
          <t>McFadden R-squared for Logit</t>
        </r>
      </text>
    </comment>
    <comment ref="B25" authorId="0" shapeId="0" xr:uid="{00000000-0006-0000-0200-000003000000}">
      <text>
        <r>
          <rPr>
            <sz val="9"/>
            <color indexed="81"/>
            <rFont val="Tahoma"/>
            <family val="2"/>
          </rPr>
          <t>Model = Model 1
Variable =  Constant
Coeff = -5.5802
StdErr = 1.10631
z-stat = -5.044
P-value = 0
VIF = 0
StdCoeff = 0
ExpCoeff = 0.004</t>
        </r>
      </text>
    </comment>
    <comment ref="B26" authorId="0" shapeId="0" xr:uid="{00000000-0006-0000-0200-000004000000}">
      <text>
        <r>
          <rPr>
            <sz val="9"/>
            <color indexed="81"/>
            <rFont val="Tahoma"/>
            <family val="2"/>
          </rPr>
          <t>Model = Model 1
Variable = X_1
Coeff = 0.34147
StdErr = 0.066519
z-stat = 5.133
P-value = 0
VIF = 1
StdCoeff = 1.24021
ExpCoeff = 1.407</t>
        </r>
      </text>
    </comment>
  </commentList>
</comments>
</file>

<file path=xl/sharedStrings.xml><?xml version="1.0" encoding="utf-8"?>
<sst xmlns="http://schemas.openxmlformats.org/spreadsheetml/2006/main" count="200" uniqueCount="152">
  <si>
    <t>Y_200</t>
  </si>
  <si>
    <t>Y</t>
  </si>
  <si>
    <t>Ytest</t>
  </si>
  <si>
    <t>X_1</t>
  </si>
  <si>
    <t>X_2</t>
  </si>
  <si>
    <t>X_3</t>
  </si>
  <si>
    <t>Model:</t>
  </si>
  <si>
    <t>Model 1</t>
  </si>
  <si>
    <t>Editable</t>
  </si>
  <si>
    <t>8/23/19 1:33 PM + FACDS414 + Logistic_example_Y_vs_X1.xlsx + Data + RegressItLogistic 2019.07.08</t>
  </si>
  <si>
    <t>Binary Dependent Variable:</t>
  </si>
  <si>
    <t>0-1 value labels:</t>
  </si>
  <si>
    <t>No</t>
  </si>
  <si>
    <t>Yes</t>
  </si>
  <si>
    <t>Independent Variables:</t>
  </si>
  <si>
    <t>Logistic Regression Equation:</t>
  </si>
  <si>
    <t>Predicted probability of "Y = Yes" is equal to exp(LogOdds)/(1+exp(LogOdds)) = 1/(1+exp(-LogOdds))</t>
  </si>
  <si>
    <t>LogOdds = -5.580 + 0.341*X_1</t>
  </si>
  <si>
    <t>Logistic Regression Statistics:    Model 1 for Y    (1 variable, n=100)</t>
  </si>
  <si>
    <t>R-squared (McFadden)</t>
  </si>
  <si>
    <t>Adj.R-Sqr.</t>
  </si>
  <si>
    <t>RMSE</t>
  </si>
  <si>
    <t>Mean</t>
  </si>
  <si>
    <t># Fitted</t>
  </si>
  <si>
    <t>ROC area</t>
  </si>
  <si>
    <t>Critical z</t>
  </si>
  <si>
    <t>Conf. level</t>
  </si>
  <si>
    <t>Logistic Regression Coefficient Estimates:    Model 1 for Y    (1 variable, n=100)</t>
  </si>
  <si>
    <t>Variable</t>
  </si>
  <si>
    <t>Coefficient</t>
  </si>
  <si>
    <t>Std.Err.</t>
  </si>
  <si>
    <t>z-statistic</t>
  </si>
  <si>
    <t>P-value</t>
  </si>
  <si>
    <t>Std. coeff.</t>
  </si>
  <si>
    <t>VIF</t>
  </si>
  <si>
    <t xml:space="preserve"> Constant</t>
  </si>
  <si>
    <t>Variance/Covariance Matrix</t>
  </si>
  <si>
    <t>Exponentiated Coefficients (Odds Ratios):     Model 1 for Y    (1 variable, n=100)</t>
  </si>
  <si>
    <t>Exp(Coeff)</t>
  </si>
  <si>
    <t>Exp(z*SE)</t>
  </si>
  <si>
    <t xml:space="preserve">  Exp(Std.coeff.)</t>
  </si>
  <si>
    <t>Analysis of Deviance:     Model 1 for Y    (1 variable, n=100)</t>
  </si>
  <si>
    <t>Source</t>
  </si>
  <si>
    <t>Deg.Freedom</t>
  </si>
  <si>
    <t>Deviance</t>
  </si>
  <si>
    <t>AIC</t>
  </si>
  <si>
    <t>R-squared</t>
  </si>
  <si>
    <t>Regression</t>
  </si>
  <si>
    <t>= Chi-square</t>
  </si>
  <si>
    <t>McFadden</t>
  </si>
  <si>
    <t>Residual</t>
  </si>
  <si>
    <t>= -2 * log likelihood</t>
  </si>
  <si>
    <t>Cox-Snell</t>
  </si>
  <si>
    <t>Null</t>
  </si>
  <si>
    <t>= -2 * null model log likelihood</t>
  </si>
  <si>
    <t>Nagelkerke</t>
  </si>
  <si>
    <t>Correlation Matrix of Coefficient Estimates : Model 1 for Y    (1 variable, n=100)</t>
  </si>
  <si>
    <t xml:space="preserve">       Constant</t>
  </si>
  <si>
    <t xml:space="preserve">           X_1</t>
  </si>
  <si>
    <t>Classification Table: Model 1 for Y    (1 variable, n=100)</t>
  </si>
  <si>
    <t>RMSE =</t>
  </si>
  <si>
    <t>Predicted:</t>
  </si>
  <si>
    <t xml:space="preserve">           Actual:</t>
  </si>
  <si>
    <t>Total</t>
  </si>
  <si>
    <t>Actual:</t>
  </si>
  <si>
    <t>Percent correct =</t>
  </si>
  <si>
    <t>True positive rate =</t>
  </si>
  <si>
    <t>True negative rate =</t>
  </si>
  <si>
    <t>Receiver Operating Characteristic (ROC) Curve</t>
  </si>
  <si>
    <t>Out-of-Sample Classification:  Model 1 for Y    (1 variable, n=100), Test Data = Ytest</t>
  </si>
  <si>
    <t>Out-of-Sample Forecasts:  Model 1 for Y    (1 variable, n=100)</t>
  </si>
  <si>
    <t>Obs#</t>
  </si>
  <si>
    <t>Probability</t>
  </si>
  <si>
    <t>Forecast</t>
  </si>
  <si>
    <t>Actual</t>
  </si>
  <si>
    <t>0-1 Actual</t>
  </si>
  <si>
    <t xml:space="preserve">         X_1</t>
  </si>
  <si>
    <t>0-1 Forecast</t>
  </si>
  <si>
    <t>Log Fcst.</t>
  </si>
  <si>
    <t>LogStdErr</t>
  </si>
  <si>
    <t>Logistic Curve Plot</t>
  </si>
  <si>
    <t>&lt; Mean of X_1</t>
  </si>
  <si>
    <t>&lt; Fcst.w for Mean of X_1</t>
  </si>
  <si>
    <t>&lt; Forecast of Mean of X_1</t>
  </si>
  <si>
    <t>SE.LogOdds</t>
  </si>
  <si>
    <t>FC.LogOdds</t>
  </si>
  <si>
    <t>Distribution of Outcomes -vs- Predictions</t>
  </si>
  <si>
    <t>Actual and Predicted -vs- Observation #</t>
  </si>
  <si>
    <t>Sensitivity and Specificity -vs- Cutoff Value</t>
  </si>
  <si>
    <t>Percentage of False Positives and False Negatives -vs- Cutoff Value</t>
  </si>
  <si>
    <t>Actual and Predicted Values: Model 1 for Y    (1 variable, n=100)</t>
  </si>
  <si>
    <t>Observation #</t>
  </si>
  <si>
    <t>Predicted</t>
  </si>
  <si>
    <t>Dev.Resid.</t>
  </si>
  <si>
    <t>Pearson's.Res.</t>
  </si>
  <si>
    <t>Leverage</t>
  </si>
  <si>
    <t>Cook's D</t>
  </si>
  <si>
    <t>Stud.Res.</t>
  </si>
  <si>
    <t>1-Actual</t>
  </si>
  <si>
    <t>Actual 0</t>
  </si>
  <si>
    <t>Actual 1</t>
  </si>
  <si>
    <t>Data for Classification Table</t>
  </si>
  <si>
    <t>Cutoff</t>
  </si>
  <si>
    <t>Predicted true</t>
  </si>
  <si>
    <t>True positive</t>
  </si>
  <si>
    <t>False positive</t>
  </si>
  <si>
    <t>True negative</t>
  </si>
  <si>
    <t>False negative</t>
  </si>
  <si>
    <t>Data for ROC curve chart:</t>
  </si>
  <si>
    <t>True positive rate</t>
  </si>
  <si>
    <t>False positive rate</t>
  </si>
  <si>
    <t>Area</t>
  </si>
  <si>
    <t>Total area</t>
  </si>
  <si>
    <t>Chart legend:</t>
  </si>
  <si>
    <t>Chart title:</t>
  </si>
  <si>
    <t>Coordinates for plotting:</t>
  </si>
  <si>
    <t>Data for distribution of outcomes chart:</t>
  </si>
  <si>
    <t>Cumulative</t>
  </si>
  <si>
    <t>1's</t>
  </si>
  <si>
    <t>0's</t>
  </si>
  <si>
    <t>Non-cumulative</t>
  </si>
  <si>
    <t>Relative weight on specificity for weighted average:</t>
  </si>
  <si>
    <t>Relative weight on % false negatives for weighted average:</t>
  </si>
  <si>
    <t>Sensitivity</t>
  </si>
  <si>
    <t>Specificity</t>
  </si>
  <si>
    <t xml:space="preserve">Relative weight on % false negatives for weighted average: </t>
  </si>
  <si>
    <t>% False Positive</t>
  </si>
  <si>
    <t>% False Negative</t>
  </si>
  <si>
    <t>Total % False</t>
  </si>
  <si>
    <t>Confidence Index</t>
  </si>
  <si>
    <t>Confidence Level</t>
  </si>
  <si>
    <t>Summary of Regression Model Results</t>
  </si>
  <si>
    <t>Logistic Model For Y</t>
  </si>
  <si>
    <t>Run Time</t>
  </si>
  <si>
    <t>Standard Deviation</t>
  </si>
  <si>
    <t># Variables</t>
  </si>
  <si>
    <t>Adjusted R-squared</t>
  </si>
  <si>
    <t>Maximum VIF</t>
  </si>
  <si>
    <t>Area Under ROC Curve</t>
  </si>
  <si>
    <t>Cutoff Level</t>
  </si>
  <si>
    <t>Percent Correct</t>
  </si>
  <si>
    <t>True Positive Rate</t>
  </si>
  <si>
    <t>True Negative Rate</t>
  </si>
  <si>
    <t>Test Variable</t>
  </si>
  <si>
    <t>Coefficients</t>
  </si>
  <si>
    <t>Model 1 (#vars=1, n=100, AdjRsq=0.368): Y &lt;&lt; X_1</t>
  </si>
  <si>
    <t>-5.58  (0.000)</t>
  </si>
  <si>
    <t>0.341  (0.000)</t>
  </si>
  <si>
    <t>White</t>
  </si>
  <si>
    <t>No Font</t>
  </si>
  <si>
    <t>R code:</t>
  </si>
  <si>
    <t>Model.1 &lt;- glm(Y ~ X_1, family = binomial, data =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</si>
</sst>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
    <numFmt numFmtId="167" formatCode="[$-409]m/d/yy\ h:mm\ AM/PM;@"/>
  </numFmts>
  <fonts count="17" x14ac:knownFonts="1">
    <font>
      <sz val="11"/>
      <color theme="1"/>
      <name val="Calibri"/>
      <family val="2"/>
      <scheme val="minor"/>
    </font>
    <font>
      <sz val="8"/>
      <color theme="1"/>
      <name val="Arial"/>
      <family val="2"/>
    </font>
    <font>
      <b/>
      <sz val="8"/>
      <color theme="1"/>
      <name val="Arial"/>
      <family val="2"/>
    </font>
    <font>
      <sz val="8"/>
      <color rgb="FFFFFFFF"/>
      <name val="Arial"/>
      <family val="2"/>
    </font>
    <font>
      <i/>
      <sz val="8"/>
      <color theme="1"/>
      <name val="Arial"/>
      <family val="2"/>
    </font>
    <font>
      <b/>
      <u/>
      <sz val="8"/>
      <color theme="1"/>
      <name val="Arial"/>
      <family val="2"/>
    </font>
    <font>
      <b/>
      <sz val="7"/>
      <color theme="1"/>
      <name val="Arial"/>
      <family val="2"/>
    </font>
    <font>
      <sz val="9"/>
      <color indexed="81"/>
      <name val="Tahoma"/>
      <family val="2"/>
    </font>
    <font>
      <sz val="8"/>
      <color rgb="FFB2B2B2"/>
      <name val="Arial"/>
      <family val="2"/>
    </font>
    <font>
      <i/>
      <sz val="8"/>
      <color theme="0" tint="-4.9989318521683403E-2"/>
      <name val="Arial"/>
      <family val="2"/>
    </font>
    <font>
      <sz val="8"/>
      <color theme="0"/>
      <name val="Arial"/>
      <family val="2"/>
    </font>
    <font>
      <b/>
      <sz val="8"/>
      <color theme="0" tint="-4.9989318521683403E-2"/>
      <name val="Arial"/>
      <family val="2"/>
    </font>
    <font>
      <sz val="8"/>
      <color theme="0" tint="-4.9989318521683403E-2"/>
      <name val="Arial"/>
      <family val="2"/>
    </font>
    <font>
      <sz val="8"/>
      <color rgb="FFB4B4B4"/>
      <name val="Arial"/>
      <family val="2"/>
    </font>
    <font>
      <sz val="8"/>
      <color rgb="FF000000"/>
      <name val="Arial"/>
      <family val="2"/>
    </font>
    <font>
      <sz val="8"/>
      <color rgb="FF010101"/>
      <name val="Arial"/>
      <family val="2"/>
    </font>
    <font>
      <sz val="8"/>
      <color rgb="FF020202"/>
      <name val="Arial"/>
      <family val="2"/>
    </font>
  </fonts>
  <fills count="5">
    <fill>
      <patternFill patternType="none"/>
    </fill>
    <fill>
      <patternFill patternType="gray125"/>
    </fill>
    <fill>
      <patternFill patternType="solid">
        <fgColor rgb="FFFFD2D2"/>
        <bgColor indexed="64"/>
      </patternFill>
    </fill>
    <fill>
      <patternFill patternType="solid">
        <fgColor theme="0" tint="-4.9989318521683403E-2"/>
        <bgColor indexed="64"/>
      </patternFill>
    </fill>
    <fill>
      <patternFill patternType="solid">
        <fgColor rgb="FFE6E6E6"/>
        <bgColor indexed="64"/>
      </patternFill>
    </fill>
  </fills>
  <borders count="14">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18"/>
      </bottom>
      <diagonal/>
    </border>
    <border>
      <left style="medium">
        <color indexed="18"/>
      </left>
      <right/>
      <top/>
      <bottom style="medium">
        <color indexed="18"/>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horizontal="right"/>
    </xf>
    <xf numFmtId="164" fontId="1" fillId="0" borderId="0" xfId="0" applyNumberFormat="1" applyFont="1" applyAlignment="1"/>
    <xf numFmtId="164" fontId="2" fillId="0" borderId="0" xfId="0" applyNumberFormat="1" applyFont="1" applyAlignment="1"/>
    <xf numFmtId="164" fontId="3" fillId="0" borderId="0" xfId="0" applyNumberFormat="1" applyFont="1" applyAlignment="1"/>
    <xf numFmtId="164" fontId="4" fillId="0" borderId="0" xfId="0" applyNumberFormat="1" applyFont="1" applyAlignment="1"/>
    <xf numFmtId="164" fontId="1" fillId="0" borderId="0" xfId="0" quotePrefix="1" applyNumberFormat="1" applyFont="1" applyAlignment="1"/>
    <xf numFmtId="164" fontId="2" fillId="0" borderId="0" xfId="0" quotePrefix="1" applyNumberFormat="1" applyFont="1" applyAlignment="1">
      <alignment horizontal="right"/>
    </xf>
    <xf numFmtId="164" fontId="1" fillId="2" borderId="4"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3" borderId="2" xfId="0" applyNumberFormat="1" applyFont="1" applyFill="1" applyBorder="1" applyAlignment="1">
      <alignment horizontal="center"/>
    </xf>
    <xf numFmtId="164" fontId="1" fillId="3" borderId="4" xfId="0" applyNumberFormat="1" applyFont="1" applyFill="1" applyBorder="1" applyAlignment="1">
      <alignment horizontal="center"/>
    </xf>
    <xf numFmtId="164" fontId="5" fillId="0" borderId="0" xfId="0" applyNumberFormat="1" applyFont="1" applyAlignment="1"/>
    <xf numFmtId="164" fontId="1" fillId="0" borderId="6" xfId="0" applyNumberFormat="1" applyFont="1" applyBorder="1" applyAlignment="1"/>
    <xf numFmtId="164" fontId="6" fillId="0" borderId="6" xfId="0" applyNumberFormat="1" applyFont="1" applyBorder="1" applyAlignment="1">
      <alignment horizontal="right"/>
    </xf>
    <xf numFmtId="165" fontId="1" fillId="0" borderId="0" xfId="0" applyNumberFormat="1" applyFont="1" applyAlignment="1"/>
    <xf numFmtId="164" fontId="6" fillId="0" borderId="6" xfId="0" applyNumberFormat="1" applyFont="1" applyBorder="1" applyAlignment="1">
      <alignment horizontal="center"/>
    </xf>
    <xf numFmtId="1" fontId="1" fillId="0" borderId="0" xfId="0" applyNumberFormat="1" applyFont="1" applyAlignment="1"/>
    <xf numFmtId="165" fontId="1" fillId="0" borderId="0" xfId="0" applyNumberFormat="1" applyFont="1" applyAlignment="1">
      <alignment horizontal="center"/>
    </xf>
    <xf numFmtId="164" fontId="1" fillId="0" borderId="0" xfId="0" applyNumberFormat="1" applyFont="1" applyAlignment="1">
      <alignment horizontal="center"/>
    </xf>
    <xf numFmtId="1" fontId="1" fillId="0" borderId="0" xfId="0" applyNumberFormat="1" applyFont="1" applyAlignment="1">
      <alignment horizontal="center"/>
    </xf>
    <xf numFmtId="2" fontId="1" fillId="0" borderId="0" xfId="0" applyNumberFormat="1" applyFont="1" applyAlignment="1">
      <alignment horizontal="center"/>
    </xf>
    <xf numFmtId="166" fontId="1" fillId="0" borderId="0" xfId="0" applyNumberFormat="1" applyFont="1" applyAlignment="1">
      <alignment horizontal="center"/>
    </xf>
    <xf numFmtId="164" fontId="6" fillId="0" borderId="0" xfId="0" applyNumberFormat="1" applyFont="1" applyAlignment="1">
      <alignment horizontal="center"/>
    </xf>
    <xf numFmtId="164" fontId="1" fillId="0" borderId="0" xfId="0" applyNumberFormat="1" applyFont="1" applyAlignment="1">
      <alignment horizontal="left"/>
    </xf>
    <xf numFmtId="164" fontId="6" fillId="0" borderId="0" xfId="0" applyNumberFormat="1" applyFont="1" applyAlignment="1">
      <alignment horizontal="right"/>
    </xf>
    <xf numFmtId="164" fontId="6" fillId="0" borderId="0" xfId="0" applyNumberFormat="1" applyFont="1" applyAlignment="1">
      <alignment horizontal="left"/>
    </xf>
    <xf numFmtId="164" fontId="6" fillId="0" borderId="6" xfId="0" applyNumberFormat="1" applyFont="1" applyBorder="1" applyAlignment="1">
      <alignment horizontal="left"/>
    </xf>
    <xf numFmtId="164" fontId="1" fillId="0" borderId="0" xfId="0" applyNumberFormat="1" applyFont="1" applyAlignment="1">
      <alignment horizontal="right"/>
    </xf>
    <xf numFmtId="164" fontId="1" fillId="0" borderId="6" xfId="0" applyNumberFormat="1" applyFont="1" applyBorder="1" applyAlignment="1">
      <alignment horizontal="right"/>
    </xf>
    <xf numFmtId="164" fontId="8" fillId="0" borderId="0" xfId="0" applyNumberFormat="1" applyFont="1" applyAlignment="1">
      <alignment horizontal="center"/>
    </xf>
    <xf numFmtId="164" fontId="1" fillId="0" borderId="7" xfId="0" applyNumberFormat="1" applyFont="1" applyBorder="1" applyAlignment="1">
      <alignment horizontal="center"/>
    </xf>
    <xf numFmtId="164" fontId="1" fillId="3" borderId="8" xfId="0" applyNumberFormat="1" applyFont="1" applyFill="1" applyBorder="1" applyAlignment="1">
      <alignment horizontal="center"/>
    </xf>
    <xf numFmtId="164" fontId="1" fillId="3" borderId="10"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11"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12" xfId="0" applyNumberFormat="1" applyFont="1" applyFill="1" applyBorder="1" applyAlignment="1">
      <alignment horizontal="center"/>
    </xf>
    <xf numFmtId="164" fontId="1" fillId="3" borderId="8" xfId="0" applyNumberFormat="1" applyFont="1" applyFill="1" applyBorder="1" applyAlignment="1">
      <alignment horizontal="right"/>
    </xf>
    <xf numFmtId="2" fontId="1" fillId="0" borderId="4" xfId="0" applyNumberFormat="1" applyFont="1" applyFill="1" applyBorder="1" applyAlignment="1">
      <alignment horizontal="center"/>
    </xf>
    <xf numFmtId="164" fontId="1" fillId="3" borderId="8" xfId="0" applyNumberFormat="1" applyFont="1" applyFill="1" applyBorder="1" applyAlignment="1">
      <alignment horizontal="left"/>
    </xf>
    <xf numFmtId="164" fontId="1" fillId="3" borderId="0" xfId="0" applyNumberFormat="1" applyFont="1" applyFill="1" applyBorder="1" applyAlignment="1">
      <alignment horizontal="left"/>
    </xf>
    <xf numFmtId="164" fontId="1" fillId="3" borderId="1" xfId="0" applyNumberFormat="1" applyFont="1" applyFill="1" applyBorder="1" applyAlignment="1">
      <alignment horizontal="left"/>
    </xf>
    <xf numFmtId="164" fontId="1" fillId="3" borderId="1"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9" xfId="0" applyNumberFormat="1" applyFont="1" applyFill="1" applyBorder="1" applyAlignment="1">
      <alignment horizontal="right"/>
    </xf>
    <xf numFmtId="166" fontId="1" fillId="0" borderId="4" xfId="0" applyNumberFormat="1" applyFont="1" applyFill="1" applyBorder="1" applyAlignment="1">
      <alignment horizontal="center"/>
    </xf>
    <xf numFmtId="164" fontId="1" fillId="3" borderId="5" xfId="0" applyNumberFormat="1" applyFont="1" applyFill="1" applyBorder="1" applyAlignment="1">
      <alignment horizontal="right"/>
    </xf>
    <xf numFmtId="1" fontId="1" fillId="0" borderId="2" xfId="0" applyNumberFormat="1" applyFont="1" applyFill="1" applyBorder="1" applyAlignment="1">
      <alignment horizontal="center"/>
    </xf>
    <xf numFmtId="1" fontId="2" fillId="0" borderId="13" xfId="0" applyNumberFormat="1" applyFont="1" applyFill="1" applyBorder="1" applyAlignment="1">
      <alignment horizontal="center"/>
    </xf>
    <xf numFmtId="1" fontId="1" fillId="3" borderId="0" xfId="0" applyNumberFormat="1" applyFont="1" applyFill="1" applyBorder="1" applyAlignment="1">
      <alignment horizontal="center"/>
    </xf>
    <xf numFmtId="1" fontId="1" fillId="0" borderId="3" xfId="0" applyNumberFormat="1" applyFont="1" applyFill="1" applyBorder="1" applyAlignment="1">
      <alignment horizontal="center"/>
    </xf>
    <xf numFmtId="1" fontId="1" fillId="0" borderId="4" xfId="0" applyNumberFormat="1" applyFont="1" applyFill="1" applyBorder="1" applyAlignment="1">
      <alignment horizontal="center"/>
    </xf>
    <xf numFmtId="9" fontId="1" fillId="0" borderId="2" xfId="0" applyNumberFormat="1" applyFont="1" applyFill="1" applyBorder="1" applyAlignment="1">
      <alignment horizontal="center"/>
    </xf>
    <xf numFmtId="9" fontId="1" fillId="0" borderId="13" xfId="0" applyNumberFormat="1" applyFont="1" applyFill="1" applyBorder="1" applyAlignment="1">
      <alignment horizontal="center"/>
    </xf>
    <xf numFmtId="9" fontId="1" fillId="3" borderId="11" xfId="0" applyNumberFormat="1" applyFont="1" applyFill="1" applyBorder="1" applyAlignment="1">
      <alignment horizontal="center"/>
    </xf>
    <xf numFmtId="9" fontId="1" fillId="0" borderId="3" xfId="0" applyNumberFormat="1" applyFont="1" applyFill="1" applyBorder="1" applyAlignment="1">
      <alignment horizontal="center"/>
    </xf>
    <xf numFmtId="9" fontId="1" fillId="0" borderId="4" xfId="0" applyNumberFormat="1" applyFont="1" applyFill="1" applyBorder="1" applyAlignment="1">
      <alignment horizontal="center"/>
    </xf>
    <xf numFmtId="9" fontId="1" fillId="3" borderId="0" xfId="0" applyNumberFormat="1" applyFont="1" applyFill="1" applyBorder="1" applyAlignment="1">
      <alignment horizontal="center"/>
    </xf>
    <xf numFmtId="1" fontId="9" fillId="3" borderId="8" xfId="0" applyNumberFormat="1" applyFont="1" applyFill="1" applyBorder="1" applyAlignment="1">
      <alignment horizontal="center"/>
    </xf>
    <xf numFmtId="1" fontId="9" fillId="3" borderId="10" xfId="0" applyNumberFormat="1" applyFont="1" applyFill="1" applyBorder="1" applyAlignment="1">
      <alignment horizontal="center"/>
    </xf>
    <xf numFmtId="164" fontId="12" fillId="3" borderId="8" xfId="0" applyNumberFormat="1" applyFont="1" applyFill="1" applyBorder="1" applyAlignment="1">
      <alignment horizontal="right"/>
    </xf>
    <xf numFmtId="164" fontId="12" fillId="3" borderId="8" xfId="0" applyNumberFormat="1" applyFont="1" applyFill="1" applyBorder="1" applyAlignment="1">
      <alignment horizontal="left"/>
    </xf>
    <xf numFmtId="1" fontId="2" fillId="0" borderId="4" xfId="0" applyNumberFormat="1" applyFont="1" applyFill="1" applyBorder="1" applyAlignment="1">
      <alignment horizontal="center"/>
    </xf>
    <xf numFmtId="1" fontId="11" fillId="3" borderId="0" xfId="0" applyNumberFormat="1" applyFont="1" applyFill="1" applyBorder="1" applyAlignment="1">
      <alignment horizontal="center"/>
    </xf>
    <xf numFmtId="1" fontId="12" fillId="3" borderId="0" xfId="0" applyNumberFormat="1" applyFont="1" applyFill="1" applyBorder="1" applyAlignment="1">
      <alignment horizontal="center"/>
    </xf>
    <xf numFmtId="9" fontId="12" fillId="3" borderId="0" xfId="0" applyNumberFormat="1" applyFont="1" applyFill="1" applyBorder="1" applyAlignment="1">
      <alignment horizontal="center"/>
    </xf>
    <xf numFmtId="166" fontId="12" fillId="3" borderId="5" xfId="0" applyNumberFormat="1" applyFont="1" applyFill="1" applyBorder="1" applyAlignment="1">
      <alignment horizontal="center"/>
    </xf>
    <xf numFmtId="1" fontId="6" fillId="0" borderId="6" xfId="0" applyNumberFormat="1" applyFont="1" applyBorder="1" applyAlignment="1">
      <alignment horizontal="center"/>
    </xf>
    <xf numFmtId="9" fontId="2" fillId="0" borderId="4" xfId="0" applyNumberFormat="1" applyFont="1" applyFill="1" applyBorder="1" applyAlignment="1"/>
    <xf numFmtId="164" fontId="13" fillId="0" borderId="0" xfId="0" applyNumberFormat="1" applyFont="1" applyAlignment="1"/>
    <xf numFmtId="164" fontId="5" fillId="0" borderId="0" xfId="0" applyNumberFormat="1" applyFont="1" applyAlignment="1">
      <alignment horizontal="right"/>
    </xf>
    <xf numFmtId="164" fontId="1" fillId="4" borderId="0" xfId="0" applyNumberFormat="1" applyFont="1" applyFill="1" applyAlignment="1">
      <alignment horizontal="right"/>
    </xf>
    <xf numFmtId="164" fontId="2" fillId="4" borderId="0" xfId="0" applyNumberFormat="1" applyFont="1" applyFill="1" applyAlignment="1">
      <alignment horizontal="left"/>
    </xf>
    <xf numFmtId="164" fontId="2" fillId="0" borderId="0" xfId="0" applyNumberFormat="1" applyFont="1" applyAlignment="1">
      <alignment horizontal="right"/>
    </xf>
    <xf numFmtId="164" fontId="3" fillId="0" borderId="0" xfId="0" applyNumberFormat="1" applyFont="1" applyAlignment="1">
      <alignment horizontal="right"/>
    </xf>
    <xf numFmtId="167" fontId="1" fillId="0" borderId="0" xfId="0" applyNumberFormat="1" applyFont="1" applyAlignment="1">
      <alignment horizontal="right"/>
    </xf>
    <xf numFmtId="1" fontId="1" fillId="0" borderId="0" xfId="0" applyNumberFormat="1" applyFont="1" applyAlignment="1">
      <alignment horizontal="right"/>
    </xf>
    <xf numFmtId="165" fontId="1" fillId="0" borderId="0" xfId="0" applyNumberFormat="1" applyFont="1" applyAlignment="1">
      <alignment horizontal="right"/>
    </xf>
    <xf numFmtId="166" fontId="1" fillId="0" borderId="0" xfId="0" applyNumberFormat="1" applyFont="1" applyAlignment="1">
      <alignment horizontal="right"/>
    </xf>
    <xf numFmtId="164" fontId="1" fillId="0" borderId="0" xfId="0" applyNumberFormat="1" applyFont="1" applyFill="1" applyAlignment="1">
      <alignment horizontal="right"/>
    </xf>
    <xf numFmtId="164" fontId="14" fillId="0" borderId="0" xfId="0" applyNumberFormat="1" applyFont="1" applyFill="1" applyAlignment="1">
      <alignment horizontal="right"/>
    </xf>
    <xf numFmtId="164" fontId="13" fillId="0" borderId="0" xfId="0" applyNumberFormat="1" applyFont="1" applyAlignment="1">
      <alignment horizontal="right"/>
    </xf>
    <xf numFmtId="1" fontId="13" fillId="0" borderId="0" xfId="0" applyNumberFormat="1" applyFont="1" applyAlignment="1"/>
    <xf numFmtId="164" fontId="13" fillId="0" borderId="0" xfId="0" quotePrefix="1" applyNumberFormat="1" applyFont="1" applyAlignment="1"/>
    <xf numFmtId="164" fontId="15" fillId="0" borderId="0" xfId="0" applyNumberFormat="1" applyFont="1" applyAlignment="1"/>
    <xf numFmtId="164" fontId="16" fillId="0" borderId="0" xfId="0" applyNumberFormat="1" applyFont="1" applyAlignment="1"/>
    <xf numFmtId="164" fontId="10" fillId="0" borderId="0" xfId="0" applyNumberFormat="1" applyFont="1" applyAlignment="1"/>
    <xf numFmtId="164" fontId="15" fillId="0" borderId="0" xfId="0" applyNumberFormat="1" applyFont="1" applyAlignment="1">
      <alignment horizontal="left"/>
    </xf>
    <xf numFmtId="164" fontId="5" fillId="0" borderId="0" xfId="0" applyNumberFormat="1" applyFont="1" applyAlignment="1">
      <alignment horizontal="left"/>
    </xf>
  </cellXfs>
  <cellStyles count="1">
    <cellStyle name="Normal" xfId="0" builtinId="0"/>
  </cellStyles>
  <dxfs count="4">
    <dxf>
      <fill>
        <patternFill>
          <fgColor indexed="64"/>
          <bgColor rgb="FFFFD2D2"/>
        </patternFill>
      </fill>
    </dxf>
    <dxf>
      <fill>
        <patternFill>
          <fgColor indexed="64"/>
          <bgColor theme="0" tint="-4.9989318521683403E-2"/>
        </patternFill>
      </fill>
    </dxf>
    <dxf>
      <font>
        <color theme="1"/>
      </font>
      <fill>
        <patternFill>
          <fgColor indexed="64"/>
          <bgColor theme="0"/>
        </patternFill>
      </fill>
      <border>
        <left style="thin">
          <color auto="1"/>
        </left>
        <right style="thin">
          <color auto="1"/>
        </right>
        <top style="thin">
          <color auto="1"/>
        </top>
        <bottom style="thin">
          <color auto="1"/>
        </bottom>
      </border>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 1'!$B$194</c:f>
          <c:strCache>
            <c:ptCount val="1"/>
            <c:pt idx="0">
              <c:v>Logistic Regression Curve -vs- X_1 
Model 1 for Y    (1 variable, n=100)</c:v>
            </c:pt>
          </c:strCache>
        </c:strRef>
      </c:tx>
      <c:overlay val="0"/>
      <c:txPr>
        <a:bodyPr/>
        <a:lstStyle/>
        <a:p>
          <a:pPr>
            <a:defRPr sz="1000"/>
          </a:pPr>
          <a:endParaRPr lang="en-US"/>
        </a:p>
      </c:txPr>
    </c:title>
    <c:autoTitleDeleted val="0"/>
    <c:plotArea>
      <c:layout/>
      <c:scatterChart>
        <c:scatterStyle val="lineMarker"/>
        <c:varyColors val="0"/>
        <c:ser>
          <c:idx val="1"/>
          <c:order val="0"/>
          <c:tx>
            <c:strRef>
              <c:f>'Model 1'!$E$180</c:f>
              <c:strCache>
                <c:ptCount val="1"/>
                <c:pt idx="0">
                  <c:v>Upper 95%</c:v>
                </c:pt>
              </c:strCache>
            </c:strRef>
          </c:tx>
          <c:spPr>
            <a:ln w="12700">
              <a:solidFill>
                <a:srgbClr val="FF0000"/>
              </a:solidFill>
              <a:prstDash val="dash"/>
            </a:ln>
          </c:spPr>
          <c:marker>
            <c:symbol val="none"/>
          </c:marker>
          <c:xVal>
            <c:numRef>
              <c:f>'Model 1'!$A$181:$A$193</c:f>
              <c:numCache>
                <c:formatCode>#,##0.000</c:formatCode>
                <c:ptCount val="13"/>
                <c:pt idx="0">
                  <c:v>3</c:v>
                </c:pt>
                <c:pt idx="1">
                  <c:v>5.25</c:v>
                </c:pt>
                <c:pt idx="2">
                  <c:v>7.5</c:v>
                </c:pt>
                <c:pt idx="3">
                  <c:v>9.75</c:v>
                </c:pt>
                <c:pt idx="4">
                  <c:v>12</c:v>
                </c:pt>
                <c:pt idx="5">
                  <c:v>14.25</c:v>
                </c:pt>
                <c:pt idx="6">
                  <c:v>16.5</c:v>
                </c:pt>
                <c:pt idx="7">
                  <c:v>18.75</c:v>
                </c:pt>
                <c:pt idx="8">
                  <c:v>21</c:v>
                </c:pt>
                <c:pt idx="9">
                  <c:v>23.25</c:v>
                </c:pt>
                <c:pt idx="10">
                  <c:v>25.5</c:v>
                </c:pt>
                <c:pt idx="11">
                  <c:v>27.75</c:v>
                </c:pt>
                <c:pt idx="12">
                  <c:v>30</c:v>
                </c:pt>
              </c:numCache>
            </c:numRef>
          </c:xVal>
          <c:yVal>
            <c:numRef>
              <c:f>'Model 1'!$E$181:$E$193</c:f>
              <c:numCache>
                <c:formatCode>#,##0.000</c:formatCode>
                <c:ptCount val="13"/>
                <c:pt idx="0">
                  <c:v>5.9304795393148507E-2</c:v>
                </c:pt>
                <c:pt idx="1">
                  <c:v>9.3378214250814287E-2</c:v>
                </c:pt>
                <c:pt idx="2">
                  <c:v>0.14493514429997323</c:v>
                </c:pt>
                <c:pt idx="3">
                  <c:v>0.22039274744298801</c:v>
                </c:pt>
                <c:pt idx="4">
                  <c:v>0.32632576287246473</c:v>
                </c:pt>
                <c:pt idx="5">
                  <c:v>0.46836568106575793</c:v>
                </c:pt>
                <c:pt idx="6">
                  <c:v>0.64361084932414681</c:v>
                </c:pt>
                <c:pt idx="7">
                  <c:v>0.81117974202747611</c:v>
                </c:pt>
                <c:pt idx="8">
                  <c:v>0.91848437137698702</c:v>
                </c:pt>
                <c:pt idx="9">
                  <c:v>0.96867641807188731</c:v>
                </c:pt>
                <c:pt idx="10">
                  <c:v>0.98859448526320781</c:v>
                </c:pt>
                <c:pt idx="11">
                  <c:v>0.99594430653158483</c:v>
                </c:pt>
                <c:pt idx="12">
                  <c:v>0.99857341452174353</c:v>
                </c:pt>
              </c:numCache>
            </c:numRef>
          </c:yVal>
          <c:smooth val="1"/>
          <c:extLst>
            <c:ext xmlns:c16="http://schemas.microsoft.com/office/drawing/2014/chart" uri="{C3380CC4-5D6E-409C-BE32-E72D297353CC}">
              <c16:uniqueId val="{00000001-4722-466C-931A-314CB41F118C}"/>
            </c:ext>
          </c:extLst>
        </c:ser>
        <c:ser>
          <c:idx val="2"/>
          <c:order val="1"/>
          <c:tx>
            <c:v>Forecast</c:v>
          </c:tx>
          <c:spPr>
            <a:ln w="19050">
              <a:solidFill>
                <a:srgbClr val="FF0000"/>
              </a:solidFill>
            </a:ln>
          </c:spPr>
          <c:marker>
            <c:symbol val="none"/>
          </c:marker>
          <c:xVal>
            <c:numRef>
              <c:f>'Model 1'!$A$181:$A$193</c:f>
              <c:numCache>
                <c:formatCode>#,##0.000</c:formatCode>
                <c:ptCount val="13"/>
                <c:pt idx="0">
                  <c:v>3</c:v>
                </c:pt>
                <c:pt idx="1">
                  <c:v>5.25</c:v>
                </c:pt>
                <c:pt idx="2">
                  <c:v>7.5</c:v>
                </c:pt>
                <c:pt idx="3">
                  <c:v>9.75</c:v>
                </c:pt>
                <c:pt idx="4">
                  <c:v>12</c:v>
                </c:pt>
                <c:pt idx="5">
                  <c:v>14.25</c:v>
                </c:pt>
                <c:pt idx="6">
                  <c:v>16.5</c:v>
                </c:pt>
                <c:pt idx="7">
                  <c:v>18.75</c:v>
                </c:pt>
                <c:pt idx="8">
                  <c:v>21</c:v>
                </c:pt>
                <c:pt idx="9">
                  <c:v>23.25</c:v>
                </c:pt>
                <c:pt idx="10">
                  <c:v>25.5</c:v>
                </c:pt>
                <c:pt idx="11">
                  <c:v>27.75</c:v>
                </c:pt>
                <c:pt idx="12">
                  <c:v>30</c:v>
                </c:pt>
              </c:numCache>
            </c:numRef>
          </c:xVal>
          <c:yVal>
            <c:numRef>
              <c:f>'Model 1'!$C$181:$C$193</c:f>
              <c:numCache>
                <c:formatCode>#,##0.000</c:formatCode>
                <c:ptCount val="13"/>
                <c:pt idx="0">
                  <c:v>1.0396645606166299E-2</c:v>
                </c:pt>
                <c:pt idx="1">
                  <c:v>2.2150049610072074E-2</c:v>
                </c:pt>
                <c:pt idx="2">
                  <c:v>4.6565446949917148E-2</c:v>
                </c:pt>
                <c:pt idx="3">
                  <c:v>9.5271214355180711E-2</c:v>
                </c:pt>
                <c:pt idx="4">
                  <c:v>0.18503457267535192</c:v>
                </c:pt>
                <c:pt idx="5">
                  <c:v>0.32864972381630864</c:v>
                </c:pt>
                <c:pt idx="6">
                  <c:v>0.5134982168224822</c:v>
                </c:pt>
                <c:pt idx="7">
                  <c:v>0.6947265721890189</c:v>
                </c:pt>
                <c:pt idx="8">
                  <c:v>0.83070260949738561</c:v>
                </c:pt>
                <c:pt idx="9">
                  <c:v>0.91364058914672541</c:v>
                </c:pt>
                <c:pt idx="10">
                  <c:v>0.95800184356167062</c:v>
                </c:pt>
                <c:pt idx="11">
                  <c:v>0.98007255108252167</c:v>
                </c:pt>
                <c:pt idx="12">
                  <c:v>0.9906578516214225</c:v>
                </c:pt>
              </c:numCache>
            </c:numRef>
          </c:yVal>
          <c:smooth val="1"/>
          <c:extLst>
            <c:ext xmlns:c16="http://schemas.microsoft.com/office/drawing/2014/chart" uri="{C3380CC4-5D6E-409C-BE32-E72D297353CC}">
              <c16:uniqueId val="{00000002-4722-466C-931A-314CB41F118C}"/>
            </c:ext>
          </c:extLst>
        </c:ser>
        <c:ser>
          <c:idx val="3"/>
          <c:order val="2"/>
          <c:tx>
            <c:strRef>
              <c:f>'Model 1'!$D$180</c:f>
              <c:strCache>
                <c:ptCount val="1"/>
                <c:pt idx="0">
                  <c:v>Lower 95%</c:v>
                </c:pt>
              </c:strCache>
            </c:strRef>
          </c:tx>
          <c:spPr>
            <a:ln w="12700">
              <a:solidFill>
                <a:srgbClr val="FF0000"/>
              </a:solidFill>
              <a:prstDash val="dash"/>
            </a:ln>
          </c:spPr>
          <c:marker>
            <c:symbol val="none"/>
          </c:marker>
          <c:xVal>
            <c:numRef>
              <c:f>'Model 1'!$A$181:$A$193</c:f>
              <c:numCache>
                <c:formatCode>#,##0.000</c:formatCode>
                <c:ptCount val="13"/>
                <c:pt idx="0">
                  <c:v>3</c:v>
                </c:pt>
                <c:pt idx="1">
                  <c:v>5.25</c:v>
                </c:pt>
                <c:pt idx="2">
                  <c:v>7.5</c:v>
                </c:pt>
                <c:pt idx="3">
                  <c:v>9.75</c:v>
                </c:pt>
                <c:pt idx="4">
                  <c:v>12</c:v>
                </c:pt>
                <c:pt idx="5">
                  <c:v>14.25</c:v>
                </c:pt>
                <c:pt idx="6">
                  <c:v>16.5</c:v>
                </c:pt>
                <c:pt idx="7">
                  <c:v>18.75</c:v>
                </c:pt>
                <c:pt idx="8">
                  <c:v>21</c:v>
                </c:pt>
                <c:pt idx="9">
                  <c:v>23.25</c:v>
                </c:pt>
                <c:pt idx="10">
                  <c:v>25.5</c:v>
                </c:pt>
                <c:pt idx="11">
                  <c:v>27.75</c:v>
                </c:pt>
                <c:pt idx="12">
                  <c:v>30</c:v>
                </c:pt>
              </c:numCache>
            </c:numRef>
          </c:xVal>
          <c:yVal>
            <c:numRef>
              <c:f>'Model 1'!$D$181:$D$193</c:f>
              <c:numCache>
                <c:formatCode>#,##0.000</c:formatCode>
                <c:ptCount val="13"/>
                <c:pt idx="0">
                  <c:v>1.7476868020344424E-3</c:v>
                </c:pt>
                <c:pt idx="1">
                  <c:v>4.9570963884173411E-3</c:v>
                </c:pt>
                <c:pt idx="2">
                  <c:v>1.3877208818962511E-2</c:v>
                </c:pt>
                <c:pt idx="3">
                  <c:v>3.7744657398820221E-2</c:v>
                </c:pt>
                <c:pt idx="4">
                  <c:v>9.6184632665850187E-2</c:v>
                </c:pt>
                <c:pt idx="5">
                  <c:v>0.21384702198673844</c:v>
                </c:pt>
                <c:pt idx="6">
                  <c:v>0.38153003840598149</c:v>
                </c:pt>
                <c:pt idx="7">
                  <c:v>0.54659611550034759</c:v>
                </c:pt>
                <c:pt idx="8">
                  <c:v>0.68120170308107963</c:v>
                </c:pt>
                <c:pt idx="9">
                  <c:v>0.78351680242252464</c:v>
                </c:pt>
                <c:pt idx="10">
                  <c:v>0.85720422422567211</c:v>
                </c:pt>
                <c:pt idx="11">
                  <c:v>0.90783542739762069</c:v>
                </c:pt>
                <c:pt idx="12">
                  <c:v>0.94139937399733586</c:v>
                </c:pt>
              </c:numCache>
            </c:numRef>
          </c:yVal>
          <c:smooth val="1"/>
          <c:extLst>
            <c:ext xmlns:c16="http://schemas.microsoft.com/office/drawing/2014/chart" uri="{C3380CC4-5D6E-409C-BE32-E72D297353CC}">
              <c16:uniqueId val="{00000003-4722-466C-931A-314CB41F118C}"/>
            </c:ext>
          </c:extLst>
        </c:ser>
        <c:ser>
          <c:idx val="0"/>
          <c:order val="3"/>
          <c:tx>
            <c:v>Mean</c:v>
          </c:tx>
          <c:spPr>
            <a:ln w="25400">
              <a:noFill/>
            </a:ln>
          </c:spPr>
          <c:marker>
            <c:symbol val="diamond"/>
            <c:size val="8"/>
            <c:spPr>
              <a:solidFill>
                <a:srgbClr val="9999FF"/>
              </a:solidFill>
              <a:ln w="9525" cap="rnd" cmpd="sng" algn="ctr">
                <a:solidFill>
                  <a:srgbClr val="0000FF"/>
                </a:solidFill>
                <a:prstDash val="solid"/>
                <a:round/>
                <a:headEnd type="none" w="med" len="med"/>
                <a:tailEnd type="none" w="med" len="med"/>
              </a:ln>
            </c:spPr>
          </c:marker>
          <c:xVal>
            <c:numRef>
              <c:f>'Model 1'!$A$179</c:f>
              <c:numCache>
                <c:formatCode>#,##0.000</c:formatCode>
                <c:ptCount val="1"/>
                <c:pt idx="0">
                  <c:v>16.254999999999999</c:v>
                </c:pt>
              </c:numCache>
            </c:numRef>
          </c:xVal>
          <c:yVal>
            <c:numRef>
              <c:f>'Model 1'!$C$179</c:f>
              <c:numCache>
                <c:formatCode>#,##0.000</c:formatCode>
                <c:ptCount val="1"/>
                <c:pt idx="0">
                  <c:v>0.49258708489949493</c:v>
                </c:pt>
              </c:numCache>
            </c:numRef>
          </c:yVal>
          <c:smooth val="0"/>
          <c:extLst>
            <c:ext xmlns:c16="http://schemas.microsoft.com/office/drawing/2014/chart" uri="{C3380CC4-5D6E-409C-BE32-E72D297353CC}">
              <c16:uniqueId val="{00000000-4722-466C-931A-314CB41F118C}"/>
            </c:ext>
          </c:extLst>
        </c:ser>
        <c:dLbls>
          <c:showLegendKey val="0"/>
          <c:showVal val="0"/>
          <c:showCatName val="0"/>
          <c:showSerName val="0"/>
          <c:showPercent val="0"/>
          <c:showBubbleSize val="0"/>
        </c:dLbls>
        <c:axId val="951178591"/>
        <c:axId val="951179839"/>
      </c:scatterChart>
      <c:valAx>
        <c:axId val="951178591"/>
        <c:scaling>
          <c:orientation val="minMax"/>
          <c:min val="0"/>
        </c:scaling>
        <c:delete val="0"/>
        <c:axPos val="b"/>
        <c:majorGridlines>
          <c:spPr>
            <a:ln w="3175">
              <a:solidFill>
                <a:srgbClr val="C0C0C0"/>
              </a:solidFill>
              <a:prstDash val="solid"/>
            </a:ln>
          </c:spPr>
        </c:majorGridlines>
        <c:title>
          <c:tx>
            <c:rich>
              <a:bodyPr/>
              <a:lstStyle/>
              <a:p>
                <a:pPr>
                  <a:defRPr/>
                </a:pPr>
                <a:r>
                  <a:rPr lang="en-US"/>
                  <a:t>X_1 (min to max)</a:t>
                </a:r>
              </a:p>
            </c:rich>
          </c:tx>
          <c:overlay val="0"/>
        </c:title>
        <c:numFmt formatCode="General" sourceLinked="0"/>
        <c:majorTickMark val="out"/>
        <c:minorTickMark val="none"/>
        <c:tickLblPos val="nextTo"/>
        <c:crossAx val="951179839"/>
        <c:crosses val="autoZero"/>
        <c:crossBetween val="midCat"/>
      </c:valAx>
      <c:valAx>
        <c:axId val="951179839"/>
        <c:scaling>
          <c:orientation val="minMax"/>
          <c:max val="1"/>
          <c:min val="0"/>
        </c:scaling>
        <c:delete val="0"/>
        <c:axPos val="l"/>
        <c:majorGridlines>
          <c:spPr>
            <a:ln w="3175">
              <a:solidFill>
                <a:srgbClr val="C0C0C0"/>
              </a:solidFill>
              <a:prstDash val="solid"/>
            </a:ln>
          </c:spPr>
        </c:majorGridlines>
        <c:numFmt formatCode="0.0" sourceLinked="0"/>
        <c:majorTickMark val="out"/>
        <c:minorTickMark val="none"/>
        <c:tickLblPos val="nextTo"/>
        <c:crossAx val="951178591"/>
        <c:crosses val="autoZero"/>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 1'!$C$47</c:f>
          <c:strCache>
            <c:ptCount val="1"/>
            <c:pt idx="0">
              <c:v>ROC curve:  area under curve = 0.89 
Model 1 for Y    (1 variable, n=100)</c:v>
            </c:pt>
          </c:strCache>
        </c:strRef>
      </c:tx>
      <c:overlay val="0"/>
      <c:txPr>
        <a:bodyPr/>
        <a:lstStyle/>
        <a:p>
          <a:pPr>
            <a:defRPr sz="1000"/>
          </a:pPr>
          <a:endParaRPr lang="en-US"/>
        </a:p>
      </c:txPr>
    </c:title>
    <c:autoTitleDeleted val="0"/>
    <c:plotArea>
      <c:layout/>
      <c:scatterChart>
        <c:scatterStyle val="lineMarker"/>
        <c:varyColors val="0"/>
        <c:ser>
          <c:idx val="0"/>
          <c:order val="0"/>
          <c:tx>
            <c:v>Blue</c:v>
          </c:tx>
          <c:spPr>
            <a:ln w="28575">
              <a:solidFill>
                <a:srgbClr val="0000FF"/>
              </a:solidFill>
            </a:ln>
          </c:spPr>
          <c:marker>
            <c:symbol val="none"/>
          </c:marker>
          <c:xVal>
            <c:numRef>
              <c:f>'Model 1'!$AK$45:$EG$45</c:f>
              <c:numCache>
                <c:formatCode>#,##0.000</c:formatCode>
                <c:ptCount val="101"/>
                <c:pt idx="0">
                  <c:v>1</c:v>
                </c:pt>
                <c:pt idx="1">
                  <c:v>1</c:v>
                </c:pt>
                <c:pt idx="2">
                  <c:v>0.90196078431372551</c:v>
                </c:pt>
                <c:pt idx="3">
                  <c:v>0.84313725490196079</c:v>
                </c:pt>
                <c:pt idx="4">
                  <c:v>0.82352941176470584</c:v>
                </c:pt>
                <c:pt idx="5">
                  <c:v>0.82352941176470584</c:v>
                </c:pt>
                <c:pt idx="6">
                  <c:v>0.80392156862745101</c:v>
                </c:pt>
                <c:pt idx="7">
                  <c:v>0.76470588235294112</c:v>
                </c:pt>
                <c:pt idx="8">
                  <c:v>0.72549019607843135</c:v>
                </c:pt>
                <c:pt idx="9">
                  <c:v>0.66666666666666663</c:v>
                </c:pt>
                <c:pt idx="10">
                  <c:v>0.62745098039215685</c:v>
                </c:pt>
                <c:pt idx="11">
                  <c:v>0.62745098039215685</c:v>
                </c:pt>
                <c:pt idx="12">
                  <c:v>0.60784313725490191</c:v>
                </c:pt>
                <c:pt idx="13">
                  <c:v>0.60784313725490191</c:v>
                </c:pt>
                <c:pt idx="14">
                  <c:v>0.56862745098039214</c:v>
                </c:pt>
                <c:pt idx="15">
                  <c:v>0.52941176470588236</c:v>
                </c:pt>
                <c:pt idx="16">
                  <c:v>0.52941176470588236</c:v>
                </c:pt>
                <c:pt idx="17">
                  <c:v>0.50980392156862742</c:v>
                </c:pt>
                <c:pt idx="18">
                  <c:v>0.50980392156862742</c:v>
                </c:pt>
                <c:pt idx="19">
                  <c:v>0.50980392156862742</c:v>
                </c:pt>
                <c:pt idx="20">
                  <c:v>0.50980392156862742</c:v>
                </c:pt>
                <c:pt idx="21">
                  <c:v>0.47058823529411764</c:v>
                </c:pt>
                <c:pt idx="22">
                  <c:v>0.47058823529411764</c:v>
                </c:pt>
                <c:pt idx="23">
                  <c:v>0.43137254901960786</c:v>
                </c:pt>
                <c:pt idx="24">
                  <c:v>0.43137254901960786</c:v>
                </c:pt>
                <c:pt idx="25">
                  <c:v>0.41176470588235292</c:v>
                </c:pt>
                <c:pt idx="26">
                  <c:v>0.39215686274509803</c:v>
                </c:pt>
                <c:pt idx="27">
                  <c:v>0.35294117647058826</c:v>
                </c:pt>
                <c:pt idx="28">
                  <c:v>0.35294117647058826</c:v>
                </c:pt>
                <c:pt idx="29">
                  <c:v>0.33333333333333331</c:v>
                </c:pt>
                <c:pt idx="30">
                  <c:v>0.31372549019607843</c:v>
                </c:pt>
                <c:pt idx="31">
                  <c:v>0.31372549019607843</c:v>
                </c:pt>
                <c:pt idx="32">
                  <c:v>0.31372549019607843</c:v>
                </c:pt>
                <c:pt idx="33">
                  <c:v>0.31372549019607843</c:v>
                </c:pt>
                <c:pt idx="34">
                  <c:v>0.29411764705882354</c:v>
                </c:pt>
                <c:pt idx="35">
                  <c:v>0.29411764705882354</c:v>
                </c:pt>
                <c:pt idx="36">
                  <c:v>0.29411764705882354</c:v>
                </c:pt>
                <c:pt idx="37">
                  <c:v>0.29411764705882354</c:v>
                </c:pt>
                <c:pt idx="38">
                  <c:v>0.29411764705882354</c:v>
                </c:pt>
                <c:pt idx="39">
                  <c:v>0.29411764705882354</c:v>
                </c:pt>
                <c:pt idx="40">
                  <c:v>0.29411764705882354</c:v>
                </c:pt>
                <c:pt idx="41">
                  <c:v>0.25490196078431371</c:v>
                </c:pt>
                <c:pt idx="42">
                  <c:v>0.25490196078431371</c:v>
                </c:pt>
                <c:pt idx="43">
                  <c:v>0.23529411764705882</c:v>
                </c:pt>
                <c:pt idx="44">
                  <c:v>0.21568627450980393</c:v>
                </c:pt>
                <c:pt idx="45">
                  <c:v>0.21568627450980393</c:v>
                </c:pt>
                <c:pt idx="46">
                  <c:v>0.21568627450980393</c:v>
                </c:pt>
                <c:pt idx="47">
                  <c:v>0.21568627450980393</c:v>
                </c:pt>
                <c:pt idx="48">
                  <c:v>0.21568627450980393</c:v>
                </c:pt>
                <c:pt idx="49">
                  <c:v>0.19607843137254902</c:v>
                </c:pt>
                <c:pt idx="50">
                  <c:v>0.19607843137254902</c:v>
                </c:pt>
                <c:pt idx="51">
                  <c:v>0.19607843137254902</c:v>
                </c:pt>
                <c:pt idx="52">
                  <c:v>0.17647058823529413</c:v>
                </c:pt>
                <c:pt idx="53">
                  <c:v>0.15686274509803921</c:v>
                </c:pt>
                <c:pt idx="54">
                  <c:v>0.15686274509803921</c:v>
                </c:pt>
                <c:pt idx="55">
                  <c:v>0.15686274509803921</c:v>
                </c:pt>
                <c:pt idx="56">
                  <c:v>0.15686274509803921</c:v>
                </c:pt>
                <c:pt idx="57">
                  <c:v>0.15686274509803921</c:v>
                </c:pt>
                <c:pt idx="58">
                  <c:v>0.13725490196078433</c:v>
                </c:pt>
                <c:pt idx="59">
                  <c:v>0.13725490196078433</c:v>
                </c:pt>
                <c:pt idx="60">
                  <c:v>0.13725490196078433</c:v>
                </c:pt>
                <c:pt idx="61">
                  <c:v>0.13725490196078433</c:v>
                </c:pt>
                <c:pt idx="62">
                  <c:v>0.13725490196078433</c:v>
                </c:pt>
                <c:pt idx="63">
                  <c:v>0.13725490196078433</c:v>
                </c:pt>
                <c:pt idx="64">
                  <c:v>0.13725490196078433</c:v>
                </c:pt>
                <c:pt idx="65">
                  <c:v>0.13725490196078433</c:v>
                </c:pt>
                <c:pt idx="66">
                  <c:v>0.13725490196078433</c:v>
                </c:pt>
                <c:pt idx="67">
                  <c:v>0.13725490196078433</c:v>
                </c:pt>
                <c:pt idx="68">
                  <c:v>9.8039215686274508E-2</c:v>
                </c:pt>
                <c:pt idx="69">
                  <c:v>9.8039215686274508E-2</c:v>
                </c:pt>
                <c:pt idx="70">
                  <c:v>7.8431372549019607E-2</c:v>
                </c:pt>
                <c:pt idx="71">
                  <c:v>7.8431372549019607E-2</c:v>
                </c:pt>
                <c:pt idx="72">
                  <c:v>7.8431372549019607E-2</c:v>
                </c:pt>
                <c:pt idx="73">
                  <c:v>5.8823529411764705E-2</c:v>
                </c:pt>
                <c:pt idx="74">
                  <c:v>5.8823529411764705E-2</c:v>
                </c:pt>
                <c:pt idx="75">
                  <c:v>5.8823529411764705E-2</c:v>
                </c:pt>
                <c:pt idx="76">
                  <c:v>5.8823529411764705E-2</c:v>
                </c:pt>
                <c:pt idx="77">
                  <c:v>5.8823529411764705E-2</c:v>
                </c:pt>
                <c:pt idx="78">
                  <c:v>5.8823529411764705E-2</c:v>
                </c:pt>
                <c:pt idx="79">
                  <c:v>5.8823529411764705E-2</c:v>
                </c:pt>
                <c:pt idx="80">
                  <c:v>3.9215686274509803E-2</c:v>
                </c:pt>
                <c:pt idx="81">
                  <c:v>3.9215686274509803E-2</c:v>
                </c:pt>
                <c:pt idx="82">
                  <c:v>3.9215686274509803E-2</c:v>
                </c:pt>
                <c:pt idx="83">
                  <c:v>3.9215686274509803E-2</c:v>
                </c:pt>
                <c:pt idx="84">
                  <c:v>1.9607843137254902E-2</c:v>
                </c:pt>
                <c:pt idx="85">
                  <c:v>1.9607843137254902E-2</c:v>
                </c:pt>
                <c:pt idx="86">
                  <c:v>1.9607843137254902E-2</c:v>
                </c:pt>
                <c:pt idx="87">
                  <c:v>1.9607843137254902E-2</c:v>
                </c:pt>
                <c:pt idx="88">
                  <c:v>1.9607843137254902E-2</c:v>
                </c:pt>
                <c:pt idx="89">
                  <c:v>1.9607843137254902E-2</c:v>
                </c:pt>
                <c:pt idx="90">
                  <c:v>1.9607843137254902E-2</c:v>
                </c:pt>
                <c:pt idx="91">
                  <c:v>1.9607843137254902E-2</c:v>
                </c:pt>
                <c:pt idx="92">
                  <c:v>0</c:v>
                </c:pt>
                <c:pt idx="93">
                  <c:v>0</c:v>
                </c:pt>
                <c:pt idx="94">
                  <c:v>0</c:v>
                </c:pt>
                <c:pt idx="95">
                  <c:v>0</c:v>
                </c:pt>
                <c:pt idx="96">
                  <c:v>0</c:v>
                </c:pt>
                <c:pt idx="97">
                  <c:v>0</c:v>
                </c:pt>
                <c:pt idx="98">
                  <c:v>0</c:v>
                </c:pt>
                <c:pt idx="99">
                  <c:v>0</c:v>
                </c:pt>
                <c:pt idx="100">
                  <c:v>0</c:v>
                </c:pt>
              </c:numCache>
            </c:numRef>
          </c:xVal>
          <c:yVal>
            <c:numRef>
              <c:f>'Model 1'!$AK$44:$EG$44</c:f>
              <c:numCache>
                <c:formatCode>#,##0.000</c:formatCode>
                <c:ptCount val="101"/>
                <c:pt idx="0">
                  <c:v>1</c:v>
                </c:pt>
                <c:pt idx="1">
                  <c:v>1</c:v>
                </c:pt>
                <c:pt idx="2">
                  <c:v>1</c:v>
                </c:pt>
                <c:pt idx="3">
                  <c:v>1</c:v>
                </c:pt>
                <c:pt idx="4">
                  <c:v>1</c:v>
                </c:pt>
                <c:pt idx="5">
                  <c:v>1</c:v>
                </c:pt>
                <c:pt idx="6">
                  <c:v>1</c:v>
                </c:pt>
                <c:pt idx="7">
                  <c:v>1</c:v>
                </c:pt>
                <c:pt idx="8">
                  <c:v>1</c:v>
                </c:pt>
                <c:pt idx="9">
                  <c:v>1</c:v>
                </c:pt>
                <c:pt idx="10">
                  <c:v>1</c:v>
                </c:pt>
                <c:pt idx="11">
                  <c:v>1</c:v>
                </c:pt>
                <c:pt idx="12">
                  <c:v>0.97959183673469385</c:v>
                </c:pt>
                <c:pt idx="13">
                  <c:v>0.97959183673469385</c:v>
                </c:pt>
                <c:pt idx="14">
                  <c:v>0.97959183673469385</c:v>
                </c:pt>
                <c:pt idx="15">
                  <c:v>0.97959183673469385</c:v>
                </c:pt>
                <c:pt idx="16">
                  <c:v>0.97959183673469385</c:v>
                </c:pt>
                <c:pt idx="17">
                  <c:v>0.97959183673469385</c:v>
                </c:pt>
                <c:pt idx="18">
                  <c:v>0.95918367346938771</c:v>
                </c:pt>
                <c:pt idx="19">
                  <c:v>0.95918367346938771</c:v>
                </c:pt>
                <c:pt idx="20">
                  <c:v>0.93877551020408168</c:v>
                </c:pt>
                <c:pt idx="21">
                  <c:v>0.93877551020408168</c:v>
                </c:pt>
                <c:pt idx="22">
                  <c:v>0.93877551020408168</c:v>
                </c:pt>
                <c:pt idx="23">
                  <c:v>0.93877551020408168</c:v>
                </c:pt>
                <c:pt idx="24">
                  <c:v>0.93877551020408168</c:v>
                </c:pt>
                <c:pt idx="25">
                  <c:v>0.93877551020408168</c:v>
                </c:pt>
                <c:pt idx="26">
                  <c:v>0.93877551020408168</c:v>
                </c:pt>
                <c:pt idx="27">
                  <c:v>0.91836734693877553</c:v>
                </c:pt>
                <c:pt idx="28">
                  <c:v>0.91836734693877553</c:v>
                </c:pt>
                <c:pt idx="29">
                  <c:v>0.91836734693877553</c:v>
                </c:pt>
                <c:pt idx="30">
                  <c:v>0.89795918367346939</c:v>
                </c:pt>
                <c:pt idx="31">
                  <c:v>0.89795918367346939</c:v>
                </c:pt>
                <c:pt idx="32">
                  <c:v>0.89795918367346939</c:v>
                </c:pt>
                <c:pt idx="33">
                  <c:v>0.89795918367346939</c:v>
                </c:pt>
                <c:pt idx="34">
                  <c:v>0.89795918367346939</c:v>
                </c:pt>
                <c:pt idx="35">
                  <c:v>0.89795918367346939</c:v>
                </c:pt>
                <c:pt idx="36">
                  <c:v>0.89795918367346939</c:v>
                </c:pt>
                <c:pt idx="37">
                  <c:v>0.8571428571428571</c:v>
                </c:pt>
                <c:pt idx="38">
                  <c:v>0.8571428571428571</c:v>
                </c:pt>
                <c:pt idx="39">
                  <c:v>0.83673469387755106</c:v>
                </c:pt>
                <c:pt idx="40">
                  <c:v>0.79591836734693877</c:v>
                </c:pt>
                <c:pt idx="41">
                  <c:v>0.79591836734693877</c:v>
                </c:pt>
                <c:pt idx="42">
                  <c:v>0.79591836734693877</c:v>
                </c:pt>
                <c:pt idx="43">
                  <c:v>0.79591836734693877</c:v>
                </c:pt>
                <c:pt idx="44">
                  <c:v>0.77551020408163263</c:v>
                </c:pt>
                <c:pt idx="45">
                  <c:v>0.77551020408163263</c:v>
                </c:pt>
                <c:pt idx="46">
                  <c:v>0.77551020408163263</c:v>
                </c:pt>
                <c:pt idx="47">
                  <c:v>0.77551020408163263</c:v>
                </c:pt>
                <c:pt idx="48">
                  <c:v>0.75510204081632648</c:v>
                </c:pt>
                <c:pt idx="49">
                  <c:v>0.75510204081632648</c:v>
                </c:pt>
                <c:pt idx="50">
                  <c:v>0.73469387755102045</c:v>
                </c:pt>
                <c:pt idx="51">
                  <c:v>0.73469387755102045</c:v>
                </c:pt>
                <c:pt idx="52">
                  <c:v>0.73469387755102045</c:v>
                </c:pt>
                <c:pt idx="53">
                  <c:v>0.73469387755102045</c:v>
                </c:pt>
                <c:pt idx="54">
                  <c:v>0.73469387755102045</c:v>
                </c:pt>
                <c:pt idx="55">
                  <c:v>0.7142857142857143</c:v>
                </c:pt>
                <c:pt idx="56">
                  <c:v>0.7142857142857143</c:v>
                </c:pt>
                <c:pt idx="57">
                  <c:v>0.7142857142857143</c:v>
                </c:pt>
                <c:pt idx="58">
                  <c:v>0.7142857142857143</c:v>
                </c:pt>
                <c:pt idx="59">
                  <c:v>0.69387755102040816</c:v>
                </c:pt>
                <c:pt idx="60">
                  <c:v>0.69387755102040816</c:v>
                </c:pt>
                <c:pt idx="61">
                  <c:v>0.69387755102040816</c:v>
                </c:pt>
                <c:pt idx="62">
                  <c:v>0.69387755102040816</c:v>
                </c:pt>
                <c:pt idx="63">
                  <c:v>0.69387755102040816</c:v>
                </c:pt>
                <c:pt idx="64">
                  <c:v>0.67346938775510201</c:v>
                </c:pt>
                <c:pt idx="65">
                  <c:v>0.67346938775510201</c:v>
                </c:pt>
                <c:pt idx="66">
                  <c:v>0.67346938775510201</c:v>
                </c:pt>
                <c:pt idx="67">
                  <c:v>0.67346938775510201</c:v>
                </c:pt>
                <c:pt idx="68">
                  <c:v>0.65306122448979587</c:v>
                </c:pt>
                <c:pt idx="69">
                  <c:v>0.65306122448979587</c:v>
                </c:pt>
                <c:pt idx="70">
                  <c:v>0.65306122448979587</c:v>
                </c:pt>
                <c:pt idx="71">
                  <c:v>0.63265306122448983</c:v>
                </c:pt>
                <c:pt idx="72">
                  <c:v>0.61224489795918369</c:v>
                </c:pt>
                <c:pt idx="73">
                  <c:v>0.61224489795918369</c:v>
                </c:pt>
                <c:pt idx="74">
                  <c:v>0.59183673469387754</c:v>
                </c:pt>
                <c:pt idx="75">
                  <c:v>0.5714285714285714</c:v>
                </c:pt>
                <c:pt idx="76">
                  <c:v>0.5714285714285714</c:v>
                </c:pt>
                <c:pt idx="77">
                  <c:v>0.5714285714285714</c:v>
                </c:pt>
                <c:pt idx="78">
                  <c:v>0.5714285714285714</c:v>
                </c:pt>
                <c:pt idx="79">
                  <c:v>0.5714285714285714</c:v>
                </c:pt>
                <c:pt idx="80">
                  <c:v>0.5714285714285714</c:v>
                </c:pt>
                <c:pt idx="81">
                  <c:v>0.5714285714285714</c:v>
                </c:pt>
                <c:pt idx="82">
                  <c:v>0.55102040816326525</c:v>
                </c:pt>
                <c:pt idx="83">
                  <c:v>0.51020408163265307</c:v>
                </c:pt>
                <c:pt idx="84">
                  <c:v>0.46938775510204084</c:v>
                </c:pt>
                <c:pt idx="85">
                  <c:v>0.44897959183673469</c:v>
                </c:pt>
                <c:pt idx="86">
                  <c:v>0.42857142857142855</c:v>
                </c:pt>
                <c:pt idx="87">
                  <c:v>0.38775510204081631</c:v>
                </c:pt>
                <c:pt idx="88">
                  <c:v>0.36734693877551022</c:v>
                </c:pt>
                <c:pt idx="89">
                  <c:v>0.34693877551020408</c:v>
                </c:pt>
                <c:pt idx="90">
                  <c:v>0.34693877551020408</c:v>
                </c:pt>
                <c:pt idx="91">
                  <c:v>0.34693877551020408</c:v>
                </c:pt>
                <c:pt idx="92">
                  <c:v>0.30612244897959184</c:v>
                </c:pt>
                <c:pt idx="93">
                  <c:v>0.2857142857142857</c:v>
                </c:pt>
                <c:pt idx="94">
                  <c:v>0.24489795918367346</c:v>
                </c:pt>
                <c:pt idx="95">
                  <c:v>0.24489795918367346</c:v>
                </c:pt>
                <c:pt idx="96">
                  <c:v>0.22448979591836735</c:v>
                </c:pt>
                <c:pt idx="97">
                  <c:v>0.12244897959183673</c:v>
                </c:pt>
                <c:pt idx="98">
                  <c:v>0.10204081632653061</c:v>
                </c:pt>
                <c:pt idx="99">
                  <c:v>2.0408163265306121E-2</c:v>
                </c:pt>
                <c:pt idx="100">
                  <c:v>0</c:v>
                </c:pt>
              </c:numCache>
            </c:numRef>
          </c:yVal>
          <c:smooth val="0"/>
          <c:extLst>
            <c:ext xmlns:c16="http://schemas.microsoft.com/office/drawing/2014/chart" uri="{C3380CC4-5D6E-409C-BE32-E72D297353CC}">
              <c16:uniqueId val="{00000000-C268-4620-8B77-BAC921191027}"/>
            </c:ext>
          </c:extLst>
        </c:ser>
        <c:ser>
          <c:idx val="1"/>
          <c:order val="1"/>
          <c:tx>
            <c:v>Line</c:v>
          </c:tx>
          <c:spPr>
            <a:ln w="12700" cap="rnd" cmpd="sng" algn="ctr">
              <a:solidFill>
                <a:sysClr val="window" lastClr="FFFFFF">
                  <a:lumMod val="75000"/>
                </a:sysClr>
              </a:solidFill>
              <a:prstDash val="dash"/>
              <a:round/>
              <a:headEnd type="none" w="med" len="med"/>
              <a:tailEnd type="none" w="med" len="med"/>
            </a:ln>
          </c:spPr>
          <c:marker>
            <c:symbol val="none"/>
          </c:marker>
          <c:xVal>
            <c:numRef>
              <c:f>'Model 1'!$D$48:$E$48</c:f>
              <c:numCache>
                <c:formatCode>#,##0.000</c:formatCode>
                <c:ptCount val="2"/>
                <c:pt idx="0">
                  <c:v>0</c:v>
                </c:pt>
                <c:pt idx="1">
                  <c:v>1</c:v>
                </c:pt>
              </c:numCache>
            </c:numRef>
          </c:xVal>
          <c:yVal>
            <c:numRef>
              <c:f>'Model 1'!$D$49:$E$49</c:f>
              <c:numCache>
                <c:formatCode>#,##0.000</c:formatCode>
                <c:ptCount val="2"/>
                <c:pt idx="0">
                  <c:v>0</c:v>
                </c:pt>
                <c:pt idx="1">
                  <c:v>1</c:v>
                </c:pt>
              </c:numCache>
            </c:numRef>
          </c:yVal>
          <c:smooth val="0"/>
          <c:extLst>
            <c:ext xmlns:c16="http://schemas.microsoft.com/office/drawing/2014/chart" uri="{C3380CC4-5D6E-409C-BE32-E72D297353CC}">
              <c16:uniqueId val="{00000001-C268-4620-8B77-BAC921191027}"/>
            </c:ext>
          </c:extLst>
        </c:ser>
        <c:ser>
          <c:idx val="2"/>
          <c:order val="2"/>
          <c:tx>
            <c:strRef>
              <c:f>'Model 1'!$C$46</c:f>
              <c:strCache>
                <c:ptCount val="1"/>
                <c:pt idx="0">
                  <c:v>Cutoff = 0.50</c:v>
                </c:pt>
              </c:strCache>
            </c:strRef>
          </c:tx>
          <c:spPr>
            <a:ln w="25400" cap="rnd" cmpd="sng" algn="ctr">
              <a:noFill/>
              <a:prstDash val="solid"/>
              <a:round/>
            </a:ln>
            <a:effectLst/>
            <a:extLst>
              <a:ext uri="{91240B29-F687-4F45-9708-019B960494DF}">
                <a14:hiddenLine xmlns:a14="http://schemas.microsoft.com/office/drawing/2010/main" w="25400" cap="rnd" cmpd="sng" algn="ctr">
                  <a:solidFill>
                    <a:srgbClr val="FF0000"/>
                  </a:solidFill>
                  <a:prstDash val="solid"/>
                  <a:round/>
                </a14:hiddenLine>
              </a:ext>
            </a:extLst>
          </c:spPr>
          <c:marker>
            <c:symbol val="square"/>
            <c:size val="8"/>
            <c:spPr>
              <a:noFill/>
              <a:ln w="25400">
                <a:solidFill>
                  <a:srgbClr val="FF0000"/>
                </a:solidFill>
                <a:prstDash val="solid"/>
              </a:ln>
              <a:effectLst/>
              <a:extLst/>
            </c:spPr>
          </c:marker>
          <c:xVal>
            <c:numRef>
              <c:f>'Model 1'!$D$50</c:f>
              <c:numCache>
                <c:formatCode>#,##0.000</c:formatCode>
                <c:ptCount val="1"/>
                <c:pt idx="0">
                  <c:v>0.1960784313725491</c:v>
                </c:pt>
              </c:numCache>
            </c:numRef>
          </c:xVal>
          <c:yVal>
            <c:numRef>
              <c:f>'Model 1'!$E$50</c:f>
              <c:numCache>
                <c:formatCode>#,##0.000</c:formatCode>
                <c:ptCount val="1"/>
                <c:pt idx="0">
                  <c:v>0.73469387755102045</c:v>
                </c:pt>
              </c:numCache>
            </c:numRef>
          </c:yVal>
          <c:smooth val="0"/>
          <c:extLst>
            <c:ext xmlns:c16="http://schemas.microsoft.com/office/drawing/2014/chart" uri="{C3380CC4-5D6E-409C-BE32-E72D297353CC}">
              <c16:uniqueId val="{00000002-C268-4620-8B77-BAC921191027}"/>
            </c:ext>
          </c:extLst>
        </c:ser>
        <c:dLbls>
          <c:showLegendKey val="0"/>
          <c:showVal val="0"/>
          <c:showCatName val="0"/>
          <c:showSerName val="0"/>
          <c:showPercent val="0"/>
          <c:showBubbleSize val="0"/>
        </c:dLbls>
        <c:axId val="951188159"/>
        <c:axId val="951184831"/>
      </c:scatterChart>
      <c:valAx>
        <c:axId val="951188159"/>
        <c:scaling>
          <c:orientation val="minMax"/>
          <c:max val="1"/>
          <c:min val="0"/>
        </c:scaling>
        <c:delete val="0"/>
        <c:axPos val="b"/>
        <c:majorGridlines>
          <c:spPr>
            <a:ln w="3175">
              <a:solidFill>
                <a:srgbClr val="C0C0C0"/>
              </a:solidFill>
              <a:prstDash val="solid"/>
            </a:ln>
          </c:spPr>
        </c:majorGridlines>
        <c:title>
          <c:tx>
            <c:rich>
              <a:bodyPr/>
              <a:lstStyle/>
              <a:p>
                <a:pPr>
                  <a:defRPr/>
                </a:pPr>
                <a:r>
                  <a:rPr lang="en-US"/>
                  <a:t>False Positive Rate (1 - Specificity)</a:t>
                </a:r>
              </a:p>
            </c:rich>
          </c:tx>
          <c:overlay val="0"/>
        </c:title>
        <c:numFmt formatCode="0%" sourceLinked="0"/>
        <c:majorTickMark val="out"/>
        <c:minorTickMark val="none"/>
        <c:tickLblPos val="nextTo"/>
        <c:crossAx val="951184831"/>
        <c:crosses val="autoZero"/>
        <c:crossBetween val="midCat"/>
      </c:valAx>
      <c:valAx>
        <c:axId val="951184831"/>
        <c:scaling>
          <c:orientation val="minMax"/>
          <c:max val="1"/>
          <c:min val="0"/>
        </c:scaling>
        <c:delete val="0"/>
        <c:axPos val="l"/>
        <c:majorGridlines>
          <c:spPr>
            <a:ln w="3175">
              <a:solidFill>
                <a:srgbClr val="C0C0C0"/>
              </a:solidFill>
              <a:prstDash val="solid"/>
            </a:ln>
          </c:spPr>
        </c:majorGridlines>
        <c:title>
          <c:tx>
            <c:rich>
              <a:bodyPr/>
              <a:lstStyle/>
              <a:p>
                <a:pPr>
                  <a:defRPr/>
                </a:pPr>
                <a:r>
                  <a:rPr lang="en-US"/>
                  <a:t>True Positive Rate (Sensitivity)</a:t>
                </a:r>
              </a:p>
            </c:rich>
          </c:tx>
          <c:overlay val="0"/>
        </c:title>
        <c:numFmt formatCode="0%" sourceLinked="0"/>
        <c:majorTickMark val="out"/>
        <c:minorTickMark val="none"/>
        <c:tickLblPos val="nextTo"/>
        <c:crossAx val="951188159"/>
        <c:crosses val="autoZero"/>
        <c:crossBetween val="midCat"/>
      </c:valAx>
      <c:spPr>
        <a:ln w="6350">
          <a:solidFill>
            <a:srgbClr val="808080"/>
          </a:solidFill>
          <a:prstDash val="solid"/>
        </a:ln>
      </c:spPr>
    </c:plotArea>
    <c:legend>
      <c:legendPos val="r"/>
      <c:legendEntry>
        <c:idx val="0"/>
        <c:delete val="1"/>
      </c:legendEntry>
      <c:legendEntry>
        <c:idx val="1"/>
        <c:delete val="1"/>
      </c:legendEntry>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100"/>
              <a:t>Distribution of Outcomes -vs- Prediction Interval
</a:t>
            </a:r>
            <a:r>
              <a:rPr lang="en-US" sz="1000"/>
              <a:t>Model 1 for Y    (1 variable, n=100)</a:t>
            </a:r>
          </a:p>
        </c:rich>
      </c:tx>
      <c:overlay val="0"/>
    </c:title>
    <c:autoTitleDeleted val="0"/>
    <c:plotArea>
      <c:layout/>
      <c:barChart>
        <c:barDir val="col"/>
        <c:grouping val="clustered"/>
        <c:varyColors val="0"/>
        <c:ser>
          <c:idx val="0"/>
          <c:order val="0"/>
          <c:tx>
            <c:strRef>
              <c:f>'Model 1'!$I$2</c:f>
              <c:strCache>
                <c:ptCount val="1"/>
                <c:pt idx="0">
                  <c:v>Yes</c:v>
                </c:pt>
              </c:strCache>
            </c:strRef>
          </c:tx>
          <c:spPr>
            <a:solidFill>
              <a:srgbClr val="9999FF"/>
            </a:solidFill>
            <a:ln w="9525" cap="flat" cmpd="sng" algn="ctr">
              <a:solidFill>
                <a:srgbClr val="0000FF"/>
              </a:solidFill>
              <a:prstDash val="solid"/>
              <a:round/>
              <a:headEnd type="none" w="med" len="med"/>
              <a:tailEnd type="none" w="med" len="med"/>
            </a:ln>
          </c:spPr>
          <c:invertIfNegative val="0"/>
          <c:cat>
            <c:numRef>
              <c:f>'Model 1'!$AK$204:$BD$204</c:f>
              <c:numCache>
                <c:formatCode>#,##0.000</c:formatCode>
                <c:ptCount val="20"/>
                <c:pt idx="0">
                  <c:v>0.05</c:v>
                </c:pt>
                <c:pt idx="1">
                  <c:v>0.1</c:v>
                </c:pt>
                <c:pt idx="2">
                  <c:v>0.15000000000000002</c:v>
                </c:pt>
                <c:pt idx="3">
                  <c:v>0.2</c:v>
                </c:pt>
                <c:pt idx="4">
                  <c:v>0.25</c:v>
                </c:pt>
                <c:pt idx="5">
                  <c:v>0.3</c:v>
                </c:pt>
                <c:pt idx="6">
                  <c:v>0.35</c:v>
                </c:pt>
                <c:pt idx="7">
                  <c:v>0.39999999999999997</c:v>
                </c:pt>
                <c:pt idx="8">
                  <c:v>0.44999999999999996</c:v>
                </c:pt>
                <c:pt idx="9">
                  <c:v>0.49999999999999994</c:v>
                </c:pt>
                <c:pt idx="10">
                  <c:v>0.54999999999999993</c:v>
                </c:pt>
                <c:pt idx="11">
                  <c:v>0.6</c:v>
                </c:pt>
                <c:pt idx="12">
                  <c:v>0.65</c:v>
                </c:pt>
                <c:pt idx="13">
                  <c:v>0.70000000000000007</c:v>
                </c:pt>
                <c:pt idx="14">
                  <c:v>0.75000000000000011</c:v>
                </c:pt>
                <c:pt idx="15">
                  <c:v>0.80000000000000016</c:v>
                </c:pt>
                <c:pt idx="16">
                  <c:v>0.8500000000000002</c:v>
                </c:pt>
                <c:pt idx="17">
                  <c:v>0.90000000000000024</c:v>
                </c:pt>
                <c:pt idx="18">
                  <c:v>0.95000000000000029</c:v>
                </c:pt>
                <c:pt idx="19">
                  <c:v>1.0000000000000002</c:v>
                </c:pt>
              </c:numCache>
            </c:numRef>
          </c:cat>
          <c:val>
            <c:numRef>
              <c:f>'Model 1'!$AK$205:$BD$205</c:f>
              <c:numCache>
                <c:formatCode>#,##0.000</c:formatCode>
                <c:ptCount val="20"/>
                <c:pt idx="0">
                  <c:v>0</c:v>
                </c:pt>
                <c:pt idx="1">
                  <c:v>0</c:v>
                </c:pt>
                <c:pt idx="2">
                  <c:v>1</c:v>
                </c:pt>
                <c:pt idx="3">
                  <c:v>2</c:v>
                </c:pt>
                <c:pt idx="4">
                  <c:v>0</c:v>
                </c:pt>
                <c:pt idx="5">
                  <c:v>2</c:v>
                </c:pt>
                <c:pt idx="6">
                  <c:v>0</c:v>
                </c:pt>
                <c:pt idx="7">
                  <c:v>5</c:v>
                </c:pt>
                <c:pt idx="8">
                  <c:v>1</c:v>
                </c:pt>
                <c:pt idx="9">
                  <c:v>2</c:v>
                </c:pt>
                <c:pt idx="10">
                  <c:v>1</c:v>
                </c:pt>
                <c:pt idx="11">
                  <c:v>1</c:v>
                </c:pt>
                <c:pt idx="12">
                  <c:v>1</c:v>
                </c:pt>
                <c:pt idx="13">
                  <c:v>1</c:v>
                </c:pt>
                <c:pt idx="14">
                  <c:v>4</c:v>
                </c:pt>
                <c:pt idx="15">
                  <c:v>0</c:v>
                </c:pt>
                <c:pt idx="16">
                  <c:v>6</c:v>
                </c:pt>
                <c:pt idx="17">
                  <c:v>5</c:v>
                </c:pt>
                <c:pt idx="18">
                  <c:v>5</c:v>
                </c:pt>
                <c:pt idx="19">
                  <c:v>12</c:v>
                </c:pt>
              </c:numCache>
            </c:numRef>
          </c:val>
          <c:extLst>
            <c:ext xmlns:c16="http://schemas.microsoft.com/office/drawing/2014/chart" uri="{C3380CC4-5D6E-409C-BE32-E72D297353CC}">
              <c16:uniqueId val="{00000000-4916-4257-83A5-3C51AACF347B}"/>
            </c:ext>
          </c:extLst>
        </c:ser>
        <c:ser>
          <c:idx val="1"/>
          <c:order val="1"/>
          <c:tx>
            <c:strRef>
              <c:f>'Model 1'!$H$2</c:f>
              <c:strCache>
                <c:ptCount val="1"/>
                <c:pt idx="0">
                  <c:v>No</c:v>
                </c:pt>
              </c:strCache>
            </c:strRef>
          </c:tx>
          <c:spPr>
            <a:solidFill>
              <a:srgbClr val="FFD2D2"/>
            </a:solidFill>
            <a:ln w="9525" cap="flat" cmpd="sng" algn="ctr">
              <a:solidFill>
                <a:srgbClr val="FF0000"/>
              </a:solidFill>
              <a:prstDash val="solid"/>
              <a:round/>
              <a:headEnd type="none" w="med" len="med"/>
              <a:tailEnd type="none" w="med" len="med"/>
            </a:ln>
          </c:spPr>
          <c:invertIfNegative val="0"/>
          <c:cat>
            <c:numRef>
              <c:f>'Model 1'!$AK$204:$BE$204</c:f>
              <c:numCache>
                <c:formatCode>#,##0.000</c:formatCode>
                <c:ptCount val="21"/>
                <c:pt idx="0">
                  <c:v>0.05</c:v>
                </c:pt>
                <c:pt idx="1">
                  <c:v>0.1</c:v>
                </c:pt>
                <c:pt idx="2">
                  <c:v>0.15000000000000002</c:v>
                </c:pt>
                <c:pt idx="3">
                  <c:v>0.2</c:v>
                </c:pt>
                <c:pt idx="4">
                  <c:v>0.25</c:v>
                </c:pt>
                <c:pt idx="5">
                  <c:v>0.3</c:v>
                </c:pt>
                <c:pt idx="6">
                  <c:v>0.35</c:v>
                </c:pt>
                <c:pt idx="7">
                  <c:v>0.39999999999999997</c:v>
                </c:pt>
                <c:pt idx="8">
                  <c:v>0.44999999999999996</c:v>
                </c:pt>
                <c:pt idx="9">
                  <c:v>0.49999999999999994</c:v>
                </c:pt>
                <c:pt idx="10">
                  <c:v>0.54999999999999993</c:v>
                </c:pt>
                <c:pt idx="11">
                  <c:v>0.6</c:v>
                </c:pt>
                <c:pt idx="12">
                  <c:v>0.65</c:v>
                </c:pt>
                <c:pt idx="13">
                  <c:v>0.70000000000000007</c:v>
                </c:pt>
                <c:pt idx="14">
                  <c:v>0.75000000000000011</c:v>
                </c:pt>
                <c:pt idx="15">
                  <c:v>0.80000000000000016</c:v>
                </c:pt>
                <c:pt idx="16">
                  <c:v>0.8500000000000002</c:v>
                </c:pt>
                <c:pt idx="17">
                  <c:v>0.90000000000000024</c:v>
                </c:pt>
                <c:pt idx="18">
                  <c:v>0.95000000000000029</c:v>
                </c:pt>
                <c:pt idx="19">
                  <c:v>1.0000000000000002</c:v>
                </c:pt>
              </c:numCache>
            </c:numRef>
          </c:cat>
          <c:val>
            <c:numRef>
              <c:f>'Model 1'!$AK$206:$BD$206</c:f>
              <c:numCache>
                <c:formatCode>#,##0.000</c:formatCode>
                <c:ptCount val="20"/>
                <c:pt idx="0">
                  <c:v>-9</c:v>
                </c:pt>
                <c:pt idx="1">
                  <c:v>-10</c:v>
                </c:pt>
                <c:pt idx="2">
                  <c:v>-5</c:v>
                </c:pt>
                <c:pt idx="3">
                  <c:v>-1</c:v>
                </c:pt>
                <c:pt idx="4">
                  <c:v>-5</c:v>
                </c:pt>
                <c:pt idx="5">
                  <c:v>-5</c:v>
                </c:pt>
                <c:pt idx="6">
                  <c:v>-1</c:v>
                </c:pt>
                <c:pt idx="7">
                  <c:v>0</c:v>
                </c:pt>
                <c:pt idx="8">
                  <c:v>-4</c:v>
                </c:pt>
                <c:pt idx="9">
                  <c:v>-1</c:v>
                </c:pt>
                <c:pt idx="10">
                  <c:v>-2</c:v>
                </c:pt>
                <c:pt idx="11">
                  <c:v>-1</c:v>
                </c:pt>
                <c:pt idx="12">
                  <c:v>0</c:v>
                </c:pt>
                <c:pt idx="13">
                  <c:v>-3</c:v>
                </c:pt>
                <c:pt idx="14">
                  <c:v>-1</c:v>
                </c:pt>
                <c:pt idx="15">
                  <c:v>-1</c:v>
                </c:pt>
                <c:pt idx="16">
                  <c:v>-1</c:v>
                </c:pt>
                <c:pt idx="17">
                  <c:v>0</c:v>
                </c:pt>
                <c:pt idx="18">
                  <c:v>-1</c:v>
                </c:pt>
                <c:pt idx="19">
                  <c:v>0</c:v>
                </c:pt>
              </c:numCache>
            </c:numRef>
          </c:val>
          <c:extLst>
            <c:ext xmlns:c16="http://schemas.microsoft.com/office/drawing/2014/chart" uri="{C3380CC4-5D6E-409C-BE32-E72D297353CC}">
              <c16:uniqueId val="{00000001-4916-4257-83A5-3C51AACF347B}"/>
            </c:ext>
          </c:extLst>
        </c:ser>
        <c:dLbls>
          <c:showLegendKey val="0"/>
          <c:showVal val="0"/>
          <c:showCatName val="0"/>
          <c:showSerName val="0"/>
          <c:showPercent val="0"/>
          <c:showBubbleSize val="0"/>
        </c:dLbls>
        <c:gapWidth val="0"/>
        <c:overlap val="100"/>
        <c:axId val="951186495"/>
        <c:axId val="2096527967"/>
      </c:barChart>
      <c:catAx>
        <c:axId val="951186495"/>
        <c:scaling>
          <c:orientation val="minMax"/>
        </c:scaling>
        <c:delete val="0"/>
        <c:axPos val="b"/>
        <c:title>
          <c:tx>
            <c:rich>
              <a:bodyPr/>
              <a:lstStyle/>
              <a:p>
                <a:pPr>
                  <a:defRPr/>
                </a:pPr>
                <a:r>
                  <a:rPr lang="en-US"/>
                  <a:t>Prediction</a:t>
                </a:r>
              </a:p>
            </c:rich>
          </c:tx>
          <c:overlay val="0"/>
        </c:title>
        <c:numFmt formatCode=".00" sourceLinked="0"/>
        <c:majorTickMark val="out"/>
        <c:minorTickMark val="none"/>
        <c:tickLblPos val="low"/>
        <c:crossAx val="2096527967"/>
        <c:crosses val="autoZero"/>
        <c:auto val="1"/>
        <c:lblAlgn val="ctr"/>
        <c:lblOffset val="100"/>
        <c:tickLblSkip val="1"/>
        <c:noMultiLvlLbl val="0"/>
      </c:catAx>
      <c:valAx>
        <c:axId val="2096527967"/>
        <c:scaling>
          <c:orientation val="minMax"/>
        </c:scaling>
        <c:delete val="0"/>
        <c:axPos val="l"/>
        <c:majorGridlines>
          <c:spPr>
            <a:ln w="3175">
              <a:solidFill>
                <a:srgbClr val="C0C0C0"/>
              </a:solidFill>
              <a:prstDash val="solid"/>
            </a:ln>
          </c:spPr>
        </c:majorGridlines>
        <c:numFmt formatCode="0;[Red]0" sourceLinked="0"/>
        <c:majorTickMark val="out"/>
        <c:minorTickMark val="none"/>
        <c:tickLblPos val="nextTo"/>
        <c:crossAx val="951186495"/>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100"/>
              <a:t>Sensitivity and Specificity -vs- Cutoff Value
</a:t>
            </a:r>
            <a:r>
              <a:rPr lang="en-US" sz="1000"/>
              <a:t>Model 1 for Y    (1 variable, n=100)</a:t>
            </a:r>
          </a:p>
        </c:rich>
      </c:tx>
      <c:overlay val="0"/>
    </c:title>
    <c:autoTitleDeleted val="0"/>
    <c:plotArea>
      <c:layout/>
      <c:scatterChart>
        <c:scatterStyle val="lineMarker"/>
        <c:varyColors val="0"/>
        <c:ser>
          <c:idx val="0"/>
          <c:order val="0"/>
          <c:tx>
            <c:v>Sensitivity</c:v>
          </c:tx>
          <c:spPr>
            <a:ln w="28575">
              <a:solidFill>
                <a:srgbClr val="0000FF"/>
              </a:solidFill>
            </a:ln>
          </c:spPr>
          <c:marker>
            <c:symbol val="none"/>
          </c:marker>
          <c:xVal>
            <c:numRef>
              <c:f>'Model 1'!$AK$244:$EG$244</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1'!$AK$245:$EG$245</c:f>
              <c:numCache>
                <c:formatCode>#,##0.000</c:formatCode>
                <c:ptCount val="101"/>
                <c:pt idx="0">
                  <c:v>1</c:v>
                </c:pt>
                <c:pt idx="1">
                  <c:v>1</c:v>
                </c:pt>
                <c:pt idx="2">
                  <c:v>1</c:v>
                </c:pt>
                <c:pt idx="3">
                  <c:v>1</c:v>
                </c:pt>
                <c:pt idx="4">
                  <c:v>1</c:v>
                </c:pt>
                <c:pt idx="5">
                  <c:v>1</c:v>
                </c:pt>
                <c:pt idx="6">
                  <c:v>1</c:v>
                </c:pt>
                <c:pt idx="7">
                  <c:v>1</c:v>
                </c:pt>
                <c:pt idx="8">
                  <c:v>1</c:v>
                </c:pt>
                <c:pt idx="9">
                  <c:v>1</c:v>
                </c:pt>
                <c:pt idx="10">
                  <c:v>0.99591836734693873</c:v>
                </c:pt>
                <c:pt idx="11">
                  <c:v>0.99183673469387756</c:v>
                </c:pt>
                <c:pt idx="12">
                  <c:v>0.98775510204081629</c:v>
                </c:pt>
                <c:pt idx="13">
                  <c:v>0.98367346938775513</c:v>
                </c:pt>
                <c:pt idx="14">
                  <c:v>0.97959183673469385</c:v>
                </c:pt>
                <c:pt idx="15">
                  <c:v>0.97959183673469385</c:v>
                </c:pt>
                <c:pt idx="16">
                  <c:v>0.97551020408163258</c:v>
                </c:pt>
                <c:pt idx="17">
                  <c:v>0.97142857142857142</c:v>
                </c:pt>
                <c:pt idx="18">
                  <c:v>0.96326530612244898</c:v>
                </c:pt>
                <c:pt idx="19">
                  <c:v>0.95510204081632644</c:v>
                </c:pt>
                <c:pt idx="20">
                  <c:v>0.946938775510204</c:v>
                </c:pt>
                <c:pt idx="21">
                  <c:v>0.94285714285714295</c:v>
                </c:pt>
                <c:pt idx="22">
                  <c:v>0.93877551020408168</c:v>
                </c:pt>
                <c:pt idx="23">
                  <c:v>0.93877551020408168</c:v>
                </c:pt>
                <c:pt idx="24">
                  <c:v>0.93877551020408168</c:v>
                </c:pt>
                <c:pt idx="25">
                  <c:v>0.9346938775510204</c:v>
                </c:pt>
                <c:pt idx="26">
                  <c:v>0.93061224489795924</c:v>
                </c:pt>
                <c:pt idx="27">
                  <c:v>0.92653061224489797</c:v>
                </c:pt>
                <c:pt idx="28">
                  <c:v>0.91836734693877553</c:v>
                </c:pt>
                <c:pt idx="29">
                  <c:v>0.91020408163265309</c:v>
                </c:pt>
                <c:pt idx="30">
                  <c:v>0.90612244897959182</c:v>
                </c:pt>
                <c:pt idx="31">
                  <c:v>0.90204081632653066</c:v>
                </c:pt>
                <c:pt idx="32">
                  <c:v>0.89795918367346939</c:v>
                </c:pt>
                <c:pt idx="33">
                  <c:v>0.89795918367346939</c:v>
                </c:pt>
                <c:pt idx="34">
                  <c:v>0.89795918367346939</c:v>
                </c:pt>
                <c:pt idx="35">
                  <c:v>0.88979591836734695</c:v>
                </c:pt>
                <c:pt idx="36">
                  <c:v>0.88163265306122451</c:v>
                </c:pt>
                <c:pt idx="37">
                  <c:v>0.8693877551020408</c:v>
                </c:pt>
                <c:pt idx="38">
                  <c:v>0.84897959183673477</c:v>
                </c:pt>
                <c:pt idx="39">
                  <c:v>0.82857142857142863</c:v>
                </c:pt>
                <c:pt idx="40">
                  <c:v>0.81632653061224492</c:v>
                </c:pt>
                <c:pt idx="41">
                  <c:v>0.80408163265306121</c:v>
                </c:pt>
                <c:pt idx="42">
                  <c:v>0.7918367346938775</c:v>
                </c:pt>
                <c:pt idx="43">
                  <c:v>0.78775510204081634</c:v>
                </c:pt>
                <c:pt idx="44">
                  <c:v>0.78367346938775506</c:v>
                </c:pt>
                <c:pt idx="45">
                  <c:v>0.7795918367346939</c:v>
                </c:pt>
                <c:pt idx="46">
                  <c:v>0.77142857142857135</c:v>
                </c:pt>
                <c:pt idx="47">
                  <c:v>0.76734693877551019</c:v>
                </c:pt>
                <c:pt idx="48">
                  <c:v>0.75918367346938787</c:v>
                </c:pt>
                <c:pt idx="49">
                  <c:v>0.75102040816326521</c:v>
                </c:pt>
                <c:pt idx="50">
                  <c:v>0.74285714285714288</c:v>
                </c:pt>
                <c:pt idx="51">
                  <c:v>0.73877551020408172</c:v>
                </c:pt>
                <c:pt idx="52">
                  <c:v>0.73469387755102045</c:v>
                </c:pt>
                <c:pt idx="53">
                  <c:v>0.73061224489795917</c:v>
                </c:pt>
                <c:pt idx="54">
                  <c:v>0.72653061224489801</c:v>
                </c:pt>
                <c:pt idx="55">
                  <c:v>0.72244897959183674</c:v>
                </c:pt>
                <c:pt idx="56">
                  <c:v>0.71836734693877558</c:v>
                </c:pt>
                <c:pt idx="57">
                  <c:v>0.71020408163265303</c:v>
                </c:pt>
                <c:pt idx="58">
                  <c:v>0.70612244897959187</c:v>
                </c:pt>
                <c:pt idx="59">
                  <c:v>0.70204081632653059</c:v>
                </c:pt>
                <c:pt idx="60">
                  <c:v>0.69795918367346943</c:v>
                </c:pt>
                <c:pt idx="61">
                  <c:v>0.69387755102040816</c:v>
                </c:pt>
                <c:pt idx="62">
                  <c:v>0.68979591836734688</c:v>
                </c:pt>
                <c:pt idx="63">
                  <c:v>0.68571428571428572</c:v>
                </c:pt>
                <c:pt idx="64">
                  <c:v>0.68163265306122445</c:v>
                </c:pt>
                <c:pt idx="65">
                  <c:v>0.67755102040816328</c:v>
                </c:pt>
                <c:pt idx="66">
                  <c:v>0.66938775510204074</c:v>
                </c:pt>
                <c:pt idx="67">
                  <c:v>0.66530612244897958</c:v>
                </c:pt>
                <c:pt idx="68">
                  <c:v>0.6612244897959183</c:v>
                </c:pt>
                <c:pt idx="69">
                  <c:v>0.65306122448979587</c:v>
                </c:pt>
                <c:pt idx="70">
                  <c:v>0.64081632653061227</c:v>
                </c:pt>
                <c:pt idx="71">
                  <c:v>0.63265306122448983</c:v>
                </c:pt>
                <c:pt idx="72">
                  <c:v>0.62040816326530612</c:v>
                </c:pt>
                <c:pt idx="73">
                  <c:v>0.60408163265306125</c:v>
                </c:pt>
                <c:pt idx="74">
                  <c:v>0.59183673469387754</c:v>
                </c:pt>
                <c:pt idx="75">
                  <c:v>0.58367346938775511</c:v>
                </c:pt>
                <c:pt idx="76">
                  <c:v>0.57551020408163267</c:v>
                </c:pt>
                <c:pt idx="77">
                  <c:v>0.5714285714285714</c:v>
                </c:pt>
                <c:pt idx="78">
                  <c:v>0.5714285714285714</c:v>
                </c:pt>
                <c:pt idx="79">
                  <c:v>0.5714285714285714</c:v>
                </c:pt>
                <c:pt idx="80">
                  <c:v>0.56734693877551023</c:v>
                </c:pt>
                <c:pt idx="81">
                  <c:v>0.55510204081632653</c:v>
                </c:pt>
                <c:pt idx="82">
                  <c:v>0.53469387755102038</c:v>
                </c:pt>
                <c:pt idx="83">
                  <c:v>0.51020408163265307</c:v>
                </c:pt>
                <c:pt idx="84">
                  <c:v>0.48163265306122449</c:v>
                </c:pt>
                <c:pt idx="85">
                  <c:v>0.44897959183673469</c:v>
                </c:pt>
                <c:pt idx="86">
                  <c:v>0.42040816326530617</c:v>
                </c:pt>
                <c:pt idx="87">
                  <c:v>0.39591836734693875</c:v>
                </c:pt>
                <c:pt idx="88">
                  <c:v>0.3755102040816326</c:v>
                </c:pt>
                <c:pt idx="89">
                  <c:v>0.35918367346938779</c:v>
                </c:pt>
                <c:pt idx="90">
                  <c:v>0.34285714285714286</c:v>
                </c:pt>
                <c:pt idx="91">
                  <c:v>0.32653061224489793</c:v>
                </c:pt>
                <c:pt idx="92">
                  <c:v>0.30612244897959184</c:v>
                </c:pt>
                <c:pt idx="93">
                  <c:v>0.2857142857142857</c:v>
                </c:pt>
                <c:pt idx="94">
                  <c:v>0.26122448979591839</c:v>
                </c:pt>
                <c:pt idx="95">
                  <c:v>0.22448979591836735</c:v>
                </c:pt>
                <c:pt idx="96">
                  <c:v>0.1877551020408163</c:v>
                </c:pt>
                <c:pt idx="97">
                  <c:v>0.14285714285714285</c:v>
                </c:pt>
                <c:pt idx="98">
                  <c:v>9.3877551020408151E-2</c:v>
                </c:pt>
                <c:pt idx="99">
                  <c:v>2.0408163265306121E-2</c:v>
                </c:pt>
                <c:pt idx="100">
                  <c:v>0</c:v>
                </c:pt>
              </c:numCache>
            </c:numRef>
          </c:yVal>
          <c:smooth val="0"/>
          <c:extLst>
            <c:ext xmlns:c16="http://schemas.microsoft.com/office/drawing/2014/chart" uri="{C3380CC4-5D6E-409C-BE32-E72D297353CC}">
              <c16:uniqueId val="{00000000-6494-42F8-A1B2-295FFF8333B1}"/>
            </c:ext>
          </c:extLst>
        </c:ser>
        <c:ser>
          <c:idx val="1"/>
          <c:order val="1"/>
          <c:tx>
            <c:v>Specificity</c:v>
          </c:tx>
          <c:spPr>
            <a:ln w="28575">
              <a:solidFill>
                <a:srgbClr val="FF0000"/>
              </a:solidFill>
            </a:ln>
          </c:spPr>
          <c:marker>
            <c:symbol val="none"/>
          </c:marker>
          <c:xVal>
            <c:numRef>
              <c:f>'Model 1'!$AK$244:$EG$244</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1'!$AK$246:$EG$246</c:f>
              <c:numCache>
                <c:formatCode>#,##0.000</c:formatCode>
                <c:ptCount val="101"/>
                <c:pt idx="0">
                  <c:v>0</c:v>
                </c:pt>
                <c:pt idx="1">
                  <c:v>0</c:v>
                </c:pt>
                <c:pt idx="2">
                  <c:v>8.6274509803921581E-2</c:v>
                </c:pt>
                <c:pt idx="3">
                  <c:v>0.12156862745098039</c:v>
                </c:pt>
                <c:pt idx="4">
                  <c:v>0.16078431372549018</c:v>
                </c:pt>
                <c:pt idx="5">
                  <c:v>0.18823529411764706</c:v>
                </c:pt>
                <c:pt idx="6">
                  <c:v>0.21176470588235297</c:v>
                </c:pt>
                <c:pt idx="7">
                  <c:v>0.24313725490196078</c:v>
                </c:pt>
                <c:pt idx="8">
                  <c:v>0.28235294117647058</c:v>
                </c:pt>
                <c:pt idx="9">
                  <c:v>0.31764705882352939</c:v>
                </c:pt>
                <c:pt idx="10">
                  <c:v>0.34901960784313729</c:v>
                </c:pt>
                <c:pt idx="11">
                  <c:v>0.37254901960784315</c:v>
                </c:pt>
                <c:pt idx="12">
                  <c:v>0.39215686274509803</c:v>
                </c:pt>
                <c:pt idx="13">
                  <c:v>0.41176470588235292</c:v>
                </c:pt>
                <c:pt idx="14">
                  <c:v>0.43137254901960786</c:v>
                </c:pt>
                <c:pt idx="15">
                  <c:v>0.45098039215686275</c:v>
                </c:pt>
                <c:pt idx="16">
                  <c:v>0.47058823529411764</c:v>
                </c:pt>
                <c:pt idx="17">
                  <c:v>0.4823529411764706</c:v>
                </c:pt>
                <c:pt idx="18">
                  <c:v>0.48627450980392156</c:v>
                </c:pt>
                <c:pt idx="19">
                  <c:v>0.49803921568627446</c:v>
                </c:pt>
                <c:pt idx="20">
                  <c:v>0.50588235294117645</c:v>
                </c:pt>
                <c:pt idx="21">
                  <c:v>0.52156862745098043</c:v>
                </c:pt>
                <c:pt idx="22">
                  <c:v>0.53725490196078429</c:v>
                </c:pt>
                <c:pt idx="23">
                  <c:v>0.55686274509803924</c:v>
                </c:pt>
                <c:pt idx="24">
                  <c:v>0.5725490196078431</c:v>
                </c:pt>
                <c:pt idx="25">
                  <c:v>0.59607843137254901</c:v>
                </c:pt>
                <c:pt idx="26">
                  <c:v>0.61176470588235288</c:v>
                </c:pt>
                <c:pt idx="27">
                  <c:v>0.63137254901960793</c:v>
                </c:pt>
                <c:pt idx="28">
                  <c:v>0.65098039215686276</c:v>
                </c:pt>
                <c:pt idx="29">
                  <c:v>0.66666666666666663</c:v>
                </c:pt>
                <c:pt idx="30">
                  <c:v>0.67450980392156856</c:v>
                </c:pt>
                <c:pt idx="31">
                  <c:v>0.6823529411764705</c:v>
                </c:pt>
                <c:pt idx="32">
                  <c:v>0.69019607843137265</c:v>
                </c:pt>
                <c:pt idx="33">
                  <c:v>0.69411764705882351</c:v>
                </c:pt>
                <c:pt idx="34">
                  <c:v>0.69803921568627458</c:v>
                </c:pt>
                <c:pt idx="35">
                  <c:v>0.70196078431372544</c:v>
                </c:pt>
                <c:pt idx="36">
                  <c:v>0.70588235294117652</c:v>
                </c:pt>
                <c:pt idx="37">
                  <c:v>0.70588235294117652</c:v>
                </c:pt>
                <c:pt idx="38">
                  <c:v>0.70588235294117652</c:v>
                </c:pt>
                <c:pt idx="39">
                  <c:v>0.71372549019607845</c:v>
                </c:pt>
                <c:pt idx="40">
                  <c:v>0.72156862745098038</c:v>
                </c:pt>
                <c:pt idx="41">
                  <c:v>0.73333333333333328</c:v>
                </c:pt>
                <c:pt idx="42">
                  <c:v>0.74901960784313726</c:v>
                </c:pt>
                <c:pt idx="43">
                  <c:v>0.76470588235294112</c:v>
                </c:pt>
                <c:pt idx="44">
                  <c:v>0.77254901960784306</c:v>
                </c:pt>
                <c:pt idx="45">
                  <c:v>0.78039215686274499</c:v>
                </c:pt>
                <c:pt idx="46">
                  <c:v>0.78431372549019607</c:v>
                </c:pt>
                <c:pt idx="47">
                  <c:v>0.78823529411764715</c:v>
                </c:pt>
                <c:pt idx="48">
                  <c:v>0.792156862745098</c:v>
                </c:pt>
                <c:pt idx="49">
                  <c:v>0.79607843137254908</c:v>
                </c:pt>
                <c:pt idx="50">
                  <c:v>0.80392156862745101</c:v>
                </c:pt>
                <c:pt idx="51">
                  <c:v>0.81568627450980391</c:v>
                </c:pt>
                <c:pt idx="52">
                  <c:v>0.82352941176470584</c:v>
                </c:pt>
                <c:pt idx="53">
                  <c:v>0.83137254901960778</c:v>
                </c:pt>
                <c:pt idx="54">
                  <c:v>0.83921568627450971</c:v>
                </c:pt>
                <c:pt idx="55">
                  <c:v>0.84313725490196079</c:v>
                </c:pt>
                <c:pt idx="56">
                  <c:v>0.84705882352941186</c:v>
                </c:pt>
                <c:pt idx="57">
                  <c:v>0.85098039215686272</c:v>
                </c:pt>
                <c:pt idx="58">
                  <c:v>0.8549019607843138</c:v>
                </c:pt>
                <c:pt idx="59">
                  <c:v>0.85882352941176465</c:v>
                </c:pt>
                <c:pt idx="60">
                  <c:v>0.86274509803921573</c:v>
                </c:pt>
                <c:pt idx="61">
                  <c:v>0.86274509803921573</c:v>
                </c:pt>
                <c:pt idx="62">
                  <c:v>0.86274509803921573</c:v>
                </c:pt>
                <c:pt idx="63">
                  <c:v>0.86274509803921573</c:v>
                </c:pt>
                <c:pt idx="64">
                  <c:v>0.86274509803921573</c:v>
                </c:pt>
                <c:pt idx="65">
                  <c:v>0.86274509803921573</c:v>
                </c:pt>
                <c:pt idx="66">
                  <c:v>0.87058823529411766</c:v>
                </c:pt>
                <c:pt idx="67">
                  <c:v>0.8784313725490196</c:v>
                </c:pt>
                <c:pt idx="68">
                  <c:v>0.8901960784313725</c:v>
                </c:pt>
                <c:pt idx="69">
                  <c:v>0.90196078431372551</c:v>
                </c:pt>
                <c:pt idx="70">
                  <c:v>0.9137254901960784</c:v>
                </c:pt>
                <c:pt idx="71">
                  <c:v>0.92156862745098034</c:v>
                </c:pt>
                <c:pt idx="72">
                  <c:v>0.92941176470588227</c:v>
                </c:pt>
                <c:pt idx="73">
                  <c:v>0.93333333333333335</c:v>
                </c:pt>
                <c:pt idx="74">
                  <c:v>0.9372549019607842</c:v>
                </c:pt>
                <c:pt idx="75">
                  <c:v>0.94117647058823528</c:v>
                </c:pt>
                <c:pt idx="76">
                  <c:v>0.94117647058823528</c:v>
                </c:pt>
                <c:pt idx="77">
                  <c:v>0.94117647058823528</c:v>
                </c:pt>
                <c:pt idx="78">
                  <c:v>0.94509803921568636</c:v>
                </c:pt>
                <c:pt idx="79">
                  <c:v>0.94901960784313721</c:v>
                </c:pt>
                <c:pt idx="80">
                  <c:v>0.95294117647058829</c:v>
                </c:pt>
                <c:pt idx="81">
                  <c:v>0.95686274509803915</c:v>
                </c:pt>
                <c:pt idx="82">
                  <c:v>0.96470588235294119</c:v>
                </c:pt>
                <c:pt idx="83">
                  <c:v>0.96862745098039216</c:v>
                </c:pt>
                <c:pt idx="84">
                  <c:v>0.97254901960784312</c:v>
                </c:pt>
                <c:pt idx="85">
                  <c:v>0.97647058823529409</c:v>
                </c:pt>
                <c:pt idx="86">
                  <c:v>0.98039215686274506</c:v>
                </c:pt>
                <c:pt idx="87">
                  <c:v>0.98039215686274506</c:v>
                </c:pt>
                <c:pt idx="88">
                  <c:v>0.98039215686274506</c:v>
                </c:pt>
                <c:pt idx="89">
                  <c:v>0.98039215686274506</c:v>
                </c:pt>
                <c:pt idx="90">
                  <c:v>0.98431372549019613</c:v>
                </c:pt>
                <c:pt idx="91">
                  <c:v>0.98823529411764699</c:v>
                </c:pt>
                <c:pt idx="92">
                  <c:v>0.99215686274509807</c:v>
                </c:pt>
                <c:pt idx="93">
                  <c:v>0.99607843137254892</c:v>
                </c:pt>
                <c:pt idx="94">
                  <c:v>1</c:v>
                </c:pt>
                <c:pt idx="95">
                  <c:v>1</c:v>
                </c:pt>
                <c:pt idx="96">
                  <c:v>1</c:v>
                </c:pt>
                <c:pt idx="97">
                  <c:v>1</c:v>
                </c:pt>
                <c:pt idx="98">
                  <c:v>1</c:v>
                </c:pt>
                <c:pt idx="99">
                  <c:v>1</c:v>
                </c:pt>
                <c:pt idx="100">
                  <c:v>1</c:v>
                </c:pt>
              </c:numCache>
            </c:numRef>
          </c:yVal>
          <c:smooth val="0"/>
          <c:extLst>
            <c:ext xmlns:c16="http://schemas.microsoft.com/office/drawing/2014/chart" uri="{C3380CC4-5D6E-409C-BE32-E72D297353CC}">
              <c16:uniqueId val="{00000001-6494-42F8-A1B2-295FFF8333B1}"/>
            </c:ext>
          </c:extLst>
        </c:ser>
        <c:ser>
          <c:idx val="2"/>
          <c:order val="2"/>
          <c:tx>
            <c:strRef>
              <c:f>'Model 1'!$AJ$247</c:f>
              <c:strCache>
                <c:ptCount val="1"/>
                <c:pt idx="0">
                  <c:v>50% Wtd.Avg.</c:v>
                </c:pt>
              </c:strCache>
            </c:strRef>
          </c:tx>
          <c:spPr>
            <a:ln w="28575" cap="rnd" cmpd="sng" algn="ctr">
              <a:solidFill>
                <a:sysClr val="window" lastClr="FFFFFF">
                  <a:lumMod val="50000"/>
                </a:sysClr>
              </a:solidFill>
              <a:prstDash val="sysDot"/>
              <a:round/>
              <a:headEnd type="none" w="med" len="med"/>
              <a:tailEnd type="none" w="med" len="med"/>
            </a:ln>
          </c:spPr>
          <c:marker>
            <c:symbol val="none"/>
          </c:marker>
          <c:xVal>
            <c:numRef>
              <c:f>'Model 1'!$AK$244:$EG$244</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1'!$AK$247:$EG$247</c:f>
              <c:numCache>
                <c:formatCode>#,##0.000</c:formatCode>
                <c:ptCount val="101"/>
                <c:pt idx="0">
                  <c:v>0.5</c:v>
                </c:pt>
                <c:pt idx="1">
                  <c:v>0.5</c:v>
                </c:pt>
                <c:pt idx="2">
                  <c:v>0.54313725490196074</c:v>
                </c:pt>
                <c:pt idx="3">
                  <c:v>0.5607843137254902</c:v>
                </c:pt>
                <c:pt idx="4">
                  <c:v>0.58039215686274503</c:v>
                </c:pt>
                <c:pt idx="5">
                  <c:v>0.59411764705882353</c:v>
                </c:pt>
                <c:pt idx="6">
                  <c:v>0.60588235294117654</c:v>
                </c:pt>
                <c:pt idx="7">
                  <c:v>0.6215686274509804</c:v>
                </c:pt>
                <c:pt idx="8">
                  <c:v>0.64117647058823524</c:v>
                </c:pt>
                <c:pt idx="9">
                  <c:v>0.6588235294117647</c:v>
                </c:pt>
                <c:pt idx="10">
                  <c:v>0.67246898759503804</c:v>
                </c:pt>
                <c:pt idx="11">
                  <c:v>0.6821928771508603</c:v>
                </c:pt>
                <c:pt idx="12">
                  <c:v>0.68995598239295719</c:v>
                </c:pt>
                <c:pt idx="13">
                  <c:v>0.69771908763505408</c:v>
                </c:pt>
                <c:pt idx="14">
                  <c:v>0.70548219287715086</c:v>
                </c:pt>
                <c:pt idx="15">
                  <c:v>0.71528611444577828</c:v>
                </c:pt>
                <c:pt idx="16">
                  <c:v>0.72304921968787506</c:v>
                </c:pt>
                <c:pt idx="17">
                  <c:v>0.72689075630252098</c:v>
                </c:pt>
                <c:pt idx="18">
                  <c:v>0.7247699079631853</c:v>
                </c:pt>
                <c:pt idx="19">
                  <c:v>0.72657062825130048</c:v>
                </c:pt>
                <c:pt idx="20">
                  <c:v>0.72641056422569017</c:v>
                </c:pt>
                <c:pt idx="21">
                  <c:v>0.73221288515406169</c:v>
                </c:pt>
                <c:pt idx="22">
                  <c:v>0.73801520608243298</c:v>
                </c:pt>
                <c:pt idx="23">
                  <c:v>0.7478191276510604</c:v>
                </c:pt>
                <c:pt idx="24">
                  <c:v>0.75566226490596233</c:v>
                </c:pt>
                <c:pt idx="25">
                  <c:v>0.76538615446178471</c:v>
                </c:pt>
                <c:pt idx="26">
                  <c:v>0.77118847539015611</c:v>
                </c:pt>
                <c:pt idx="27">
                  <c:v>0.77895158063225289</c:v>
                </c:pt>
                <c:pt idx="28">
                  <c:v>0.78467386954781915</c:v>
                </c:pt>
                <c:pt idx="29">
                  <c:v>0.78843537414965992</c:v>
                </c:pt>
                <c:pt idx="30">
                  <c:v>0.79031612645058025</c:v>
                </c:pt>
                <c:pt idx="31">
                  <c:v>0.79219687875150058</c:v>
                </c:pt>
                <c:pt idx="32">
                  <c:v>0.79407763105242102</c:v>
                </c:pt>
                <c:pt idx="33">
                  <c:v>0.79603841536614639</c:v>
                </c:pt>
                <c:pt idx="34">
                  <c:v>0.79799919967987198</c:v>
                </c:pt>
                <c:pt idx="35">
                  <c:v>0.79587835134053619</c:v>
                </c:pt>
                <c:pt idx="36">
                  <c:v>0.79375750300120052</c:v>
                </c:pt>
                <c:pt idx="37">
                  <c:v>0.7876350540216086</c:v>
                </c:pt>
                <c:pt idx="38">
                  <c:v>0.77743097238895564</c:v>
                </c:pt>
                <c:pt idx="39">
                  <c:v>0.77114845938375354</c:v>
                </c:pt>
                <c:pt idx="40">
                  <c:v>0.7689475790316127</c:v>
                </c:pt>
                <c:pt idx="41">
                  <c:v>0.76870748299319724</c:v>
                </c:pt>
                <c:pt idx="42">
                  <c:v>0.77042817126850738</c:v>
                </c:pt>
                <c:pt idx="43">
                  <c:v>0.77623049219687879</c:v>
                </c:pt>
                <c:pt idx="44">
                  <c:v>0.77811124449779911</c:v>
                </c:pt>
                <c:pt idx="45">
                  <c:v>0.77999199679871944</c:v>
                </c:pt>
                <c:pt idx="46">
                  <c:v>0.77787114845938365</c:v>
                </c:pt>
                <c:pt idx="47">
                  <c:v>0.77779111644657872</c:v>
                </c:pt>
                <c:pt idx="48">
                  <c:v>0.77567026810724293</c:v>
                </c:pt>
                <c:pt idx="49">
                  <c:v>0.77354941976790714</c:v>
                </c:pt>
                <c:pt idx="50">
                  <c:v>0.77338935574229695</c:v>
                </c:pt>
                <c:pt idx="51">
                  <c:v>0.77723089235694287</c:v>
                </c:pt>
                <c:pt idx="52">
                  <c:v>0.7791116446578632</c:v>
                </c:pt>
                <c:pt idx="53">
                  <c:v>0.78099239695878353</c:v>
                </c:pt>
                <c:pt idx="54">
                  <c:v>0.78287314925970386</c:v>
                </c:pt>
                <c:pt idx="55">
                  <c:v>0.78279311724689871</c:v>
                </c:pt>
                <c:pt idx="56">
                  <c:v>0.78271308523409378</c:v>
                </c:pt>
                <c:pt idx="57">
                  <c:v>0.78059223689475787</c:v>
                </c:pt>
                <c:pt idx="58">
                  <c:v>0.78051220488195283</c:v>
                </c:pt>
                <c:pt idx="59">
                  <c:v>0.78043217286914768</c:v>
                </c:pt>
                <c:pt idx="60">
                  <c:v>0.78035214085634252</c:v>
                </c:pt>
                <c:pt idx="61">
                  <c:v>0.77831132452981189</c:v>
                </c:pt>
                <c:pt idx="62">
                  <c:v>0.77627050820328125</c:v>
                </c:pt>
                <c:pt idx="63">
                  <c:v>0.77422969187675073</c:v>
                </c:pt>
                <c:pt idx="64">
                  <c:v>0.77218887555022009</c:v>
                </c:pt>
                <c:pt idx="65">
                  <c:v>0.77014805922368956</c:v>
                </c:pt>
                <c:pt idx="66">
                  <c:v>0.76998799519807926</c:v>
                </c:pt>
                <c:pt idx="67">
                  <c:v>0.77186874749899959</c:v>
                </c:pt>
                <c:pt idx="68">
                  <c:v>0.7757102841136454</c:v>
                </c:pt>
                <c:pt idx="69">
                  <c:v>0.77751100440176069</c:v>
                </c:pt>
                <c:pt idx="70">
                  <c:v>0.77727090836334534</c:v>
                </c:pt>
                <c:pt idx="71">
                  <c:v>0.77711084433773503</c:v>
                </c:pt>
                <c:pt idx="72">
                  <c:v>0.7749099639855942</c:v>
                </c:pt>
                <c:pt idx="73">
                  <c:v>0.76870748299319724</c:v>
                </c:pt>
                <c:pt idx="74">
                  <c:v>0.76454581832733082</c:v>
                </c:pt>
                <c:pt idx="75">
                  <c:v>0.76242496998799525</c:v>
                </c:pt>
                <c:pt idx="76">
                  <c:v>0.75834333733493398</c:v>
                </c:pt>
                <c:pt idx="77">
                  <c:v>0.75630252100840334</c:v>
                </c:pt>
                <c:pt idx="78">
                  <c:v>0.75826330532212882</c:v>
                </c:pt>
                <c:pt idx="79">
                  <c:v>0.76022408963585431</c:v>
                </c:pt>
                <c:pt idx="80">
                  <c:v>0.76014405762304926</c:v>
                </c:pt>
                <c:pt idx="81">
                  <c:v>0.75598239295718284</c:v>
                </c:pt>
                <c:pt idx="82">
                  <c:v>0.74969987995198073</c:v>
                </c:pt>
                <c:pt idx="83">
                  <c:v>0.73941576630652261</c:v>
                </c:pt>
                <c:pt idx="84">
                  <c:v>0.72709083633453386</c:v>
                </c:pt>
                <c:pt idx="85">
                  <c:v>0.71272509003601436</c:v>
                </c:pt>
                <c:pt idx="86">
                  <c:v>0.70040016006402561</c:v>
                </c:pt>
                <c:pt idx="87">
                  <c:v>0.6881552621048419</c:v>
                </c:pt>
                <c:pt idx="88">
                  <c:v>0.67795118047218883</c:v>
                </c:pt>
                <c:pt idx="89">
                  <c:v>0.66978791516606639</c:v>
                </c:pt>
                <c:pt idx="90">
                  <c:v>0.66358543417366955</c:v>
                </c:pt>
                <c:pt idx="91">
                  <c:v>0.65738295318127249</c:v>
                </c:pt>
                <c:pt idx="92">
                  <c:v>0.64913965586234501</c:v>
                </c:pt>
                <c:pt idx="93">
                  <c:v>0.64089635854341731</c:v>
                </c:pt>
                <c:pt idx="94">
                  <c:v>0.6306122448979592</c:v>
                </c:pt>
                <c:pt idx="95">
                  <c:v>0.61224489795918369</c:v>
                </c:pt>
                <c:pt idx="96">
                  <c:v>0.59387755102040818</c:v>
                </c:pt>
                <c:pt idx="97">
                  <c:v>0.5714285714285714</c:v>
                </c:pt>
                <c:pt idx="98">
                  <c:v>0.54693877551020409</c:v>
                </c:pt>
                <c:pt idx="99">
                  <c:v>0.51020408163265307</c:v>
                </c:pt>
                <c:pt idx="100">
                  <c:v>0.5</c:v>
                </c:pt>
              </c:numCache>
            </c:numRef>
          </c:yVal>
          <c:smooth val="0"/>
          <c:extLst>
            <c:ext xmlns:c16="http://schemas.microsoft.com/office/drawing/2014/chart" uri="{C3380CC4-5D6E-409C-BE32-E72D297353CC}">
              <c16:uniqueId val="{00000002-6494-42F8-A1B2-295FFF8333B1}"/>
            </c:ext>
          </c:extLst>
        </c:ser>
        <c:dLbls>
          <c:showLegendKey val="0"/>
          <c:showVal val="0"/>
          <c:showCatName val="0"/>
          <c:showSerName val="0"/>
          <c:showPercent val="0"/>
          <c:showBubbleSize val="0"/>
        </c:dLbls>
        <c:axId val="2104207199"/>
        <c:axId val="2101293663"/>
      </c:scatterChart>
      <c:valAx>
        <c:axId val="2104207199"/>
        <c:scaling>
          <c:orientation val="minMax"/>
          <c:max val="1"/>
          <c:min val="0"/>
        </c:scaling>
        <c:delete val="0"/>
        <c:axPos val="b"/>
        <c:majorGridlines>
          <c:spPr>
            <a:ln w="3175">
              <a:solidFill>
                <a:srgbClr val="C0C0C0"/>
              </a:solidFill>
              <a:prstDash val="solid"/>
            </a:ln>
          </c:spPr>
        </c:majorGridlines>
        <c:title>
          <c:tx>
            <c:rich>
              <a:bodyPr/>
              <a:lstStyle/>
              <a:p>
                <a:pPr>
                  <a:defRPr/>
                </a:pPr>
                <a:r>
                  <a:rPr lang="en-US"/>
                  <a:t>Cutoff</a:t>
                </a:r>
              </a:p>
            </c:rich>
          </c:tx>
          <c:overlay val="0"/>
        </c:title>
        <c:numFmt formatCode="0.0" sourceLinked="0"/>
        <c:majorTickMark val="out"/>
        <c:minorTickMark val="none"/>
        <c:tickLblPos val="nextTo"/>
        <c:crossAx val="2101293663"/>
        <c:crosses val="autoZero"/>
        <c:crossBetween val="midCat"/>
      </c:valAx>
      <c:valAx>
        <c:axId val="2101293663"/>
        <c:scaling>
          <c:orientation val="minMax"/>
          <c:max val="1"/>
          <c:min val="0"/>
        </c:scaling>
        <c:delete val="0"/>
        <c:axPos val="l"/>
        <c:majorGridlines>
          <c:spPr>
            <a:ln w="3175">
              <a:solidFill>
                <a:srgbClr val="C0C0C0"/>
              </a:solidFill>
              <a:prstDash val="solid"/>
            </a:ln>
          </c:spPr>
        </c:majorGridlines>
        <c:numFmt formatCode="0%" sourceLinked="0"/>
        <c:majorTickMark val="out"/>
        <c:minorTickMark val="none"/>
        <c:tickLblPos val="nextTo"/>
        <c:crossAx val="2104207199"/>
        <c:crosses val="autoZero"/>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100"/>
              <a:t>Error Rates- vs- Cutoff Value
</a:t>
            </a:r>
            <a:r>
              <a:rPr lang="en-US" sz="1000"/>
              <a:t>Model 1 for Y    (1 variable, n=100)</a:t>
            </a:r>
          </a:p>
        </c:rich>
      </c:tx>
      <c:overlay val="0"/>
    </c:title>
    <c:autoTitleDeleted val="0"/>
    <c:plotArea>
      <c:layout/>
      <c:scatterChart>
        <c:scatterStyle val="lineMarker"/>
        <c:varyColors val="0"/>
        <c:ser>
          <c:idx val="0"/>
          <c:order val="0"/>
          <c:tx>
            <c:v>% False Positive</c:v>
          </c:tx>
          <c:spPr>
            <a:ln w="28575">
              <a:solidFill>
                <a:srgbClr val="0000FF"/>
              </a:solidFill>
            </a:ln>
          </c:spPr>
          <c:marker>
            <c:symbol val="none"/>
          </c:marker>
          <c:xVal>
            <c:numRef>
              <c:f>'Model 1'!$AK$267:$EG$267</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1'!$AK$268:$EG$268</c:f>
              <c:numCache>
                <c:formatCode>#,##0.000</c:formatCode>
                <c:ptCount val="101"/>
                <c:pt idx="0">
                  <c:v>0.51</c:v>
                </c:pt>
                <c:pt idx="1">
                  <c:v>0.51</c:v>
                </c:pt>
                <c:pt idx="2">
                  <c:v>0.46600000000000003</c:v>
                </c:pt>
                <c:pt idx="3">
                  <c:v>0.44799999999999995</c:v>
                </c:pt>
                <c:pt idx="4">
                  <c:v>0.42799999999999999</c:v>
                </c:pt>
                <c:pt idx="5">
                  <c:v>0.41399999999999998</c:v>
                </c:pt>
                <c:pt idx="6">
                  <c:v>0.40200000000000002</c:v>
                </c:pt>
                <c:pt idx="7">
                  <c:v>0.38600000000000001</c:v>
                </c:pt>
                <c:pt idx="8">
                  <c:v>0.36599999999999999</c:v>
                </c:pt>
                <c:pt idx="9">
                  <c:v>0.34799999999999998</c:v>
                </c:pt>
                <c:pt idx="10">
                  <c:v>0.33200000000000002</c:v>
                </c:pt>
                <c:pt idx="11">
                  <c:v>0.32</c:v>
                </c:pt>
                <c:pt idx="12">
                  <c:v>0.31</c:v>
                </c:pt>
                <c:pt idx="13">
                  <c:v>0.3</c:v>
                </c:pt>
                <c:pt idx="14">
                  <c:v>0.28999999999999998</c:v>
                </c:pt>
                <c:pt idx="15">
                  <c:v>0.28000000000000003</c:v>
                </c:pt>
                <c:pt idx="16">
                  <c:v>0.27</c:v>
                </c:pt>
                <c:pt idx="17">
                  <c:v>0.26400000000000001</c:v>
                </c:pt>
                <c:pt idx="18">
                  <c:v>0.26200000000000001</c:v>
                </c:pt>
                <c:pt idx="19">
                  <c:v>0.25600000000000001</c:v>
                </c:pt>
                <c:pt idx="20">
                  <c:v>0.252</c:v>
                </c:pt>
                <c:pt idx="21">
                  <c:v>0.24399999999999999</c:v>
                </c:pt>
                <c:pt idx="22">
                  <c:v>0.23600000000000002</c:v>
                </c:pt>
                <c:pt idx="23">
                  <c:v>0.22600000000000001</c:v>
                </c:pt>
                <c:pt idx="24">
                  <c:v>0.218</c:v>
                </c:pt>
                <c:pt idx="25">
                  <c:v>0.20600000000000002</c:v>
                </c:pt>
                <c:pt idx="26">
                  <c:v>0.19800000000000001</c:v>
                </c:pt>
                <c:pt idx="27">
                  <c:v>0.188</c:v>
                </c:pt>
                <c:pt idx="28">
                  <c:v>0.17800000000000002</c:v>
                </c:pt>
                <c:pt idx="29">
                  <c:v>0.17</c:v>
                </c:pt>
                <c:pt idx="30">
                  <c:v>0.16600000000000001</c:v>
                </c:pt>
                <c:pt idx="31">
                  <c:v>0.16200000000000001</c:v>
                </c:pt>
                <c:pt idx="32">
                  <c:v>0.158</c:v>
                </c:pt>
                <c:pt idx="33">
                  <c:v>0.156</c:v>
                </c:pt>
                <c:pt idx="34">
                  <c:v>0.154</c:v>
                </c:pt>
                <c:pt idx="35">
                  <c:v>0.152</c:v>
                </c:pt>
                <c:pt idx="36">
                  <c:v>0.15</c:v>
                </c:pt>
                <c:pt idx="37">
                  <c:v>0.15</c:v>
                </c:pt>
                <c:pt idx="38">
                  <c:v>0.15</c:v>
                </c:pt>
                <c:pt idx="39">
                  <c:v>0.14599999999999999</c:v>
                </c:pt>
                <c:pt idx="40">
                  <c:v>0.14199999999999999</c:v>
                </c:pt>
                <c:pt idx="41">
                  <c:v>0.13600000000000001</c:v>
                </c:pt>
                <c:pt idx="42">
                  <c:v>0.128</c:v>
                </c:pt>
                <c:pt idx="43">
                  <c:v>0.12</c:v>
                </c:pt>
                <c:pt idx="44">
                  <c:v>0.11599999999999999</c:v>
                </c:pt>
                <c:pt idx="45">
                  <c:v>0.11199999999999999</c:v>
                </c:pt>
                <c:pt idx="46">
                  <c:v>0.11</c:v>
                </c:pt>
                <c:pt idx="47">
                  <c:v>0.10800000000000001</c:v>
                </c:pt>
                <c:pt idx="48">
                  <c:v>0.106</c:v>
                </c:pt>
                <c:pt idx="49">
                  <c:v>0.10400000000000001</c:v>
                </c:pt>
                <c:pt idx="50">
                  <c:v>0.1</c:v>
                </c:pt>
                <c:pt idx="51">
                  <c:v>9.4E-2</c:v>
                </c:pt>
                <c:pt idx="52">
                  <c:v>0.09</c:v>
                </c:pt>
                <c:pt idx="53">
                  <c:v>8.5999999999999993E-2</c:v>
                </c:pt>
                <c:pt idx="54">
                  <c:v>8.199999999999999E-2</c:v>
                </c:pt>
                <c:pt idx="55">
                  <c:v>0.08</c:v>
                </c:pt>
                <c:pt idx="56">
                  <c:v>7.8E-2</c:v>
                </c:pt>
                <c:pt idx="57">
                  <c:v>7.5999999999999998E-2</c:v>
                </c:pt>
                <c:pt idx="58">
                  <c:v>7.400000000000001E-2</c:v>
                </c:pt>
                <c:pt idx="59">
                  <c:v>7.2000000000000008E-2</c:v>
                </c:pt>
                <c:pt idx="60">
                  <c:v>7.0000000000000007E-2</c:v>
                </c:pt>
                <c:pt idx="61">
                  <c:v>7.0000000000000007E-2</c:v>
                </c:pt>
                <c:pt idx="62">
                  <c:v>7.0000000000000007E-2</c:v>
                </c:pt>
                <c:pt idx="63">
                  <c:v>7.0000000000000007E-2</c:v>
                </c:pt>
                <c:pt idx="64">
                  <c:v>7.0000000000000007E-2</c:v>
                </c:pt>
                <c:pt idx="65">
                  <c:v>7.0000000000000007E-2</c:v>
                </c:pt>
                <c:pt idx="66">
                  <c:v>6.6000000000000003E-2</c:v>
                </c:pt>
                <c:pt idx="67">
                  <c:v>6.2E-2</c:v>
                </c:pt>
                <c:pt idx="68">
                  <c:v>5.5999999999999994E-2</c:v>
                </c:pt>
                <c:pt idx="69">
                  <c:v>0.05</c:v>
                </c:pt>
                <c:pt idx="70">
                  <c:v>4.4000000000000004E-2</c:v>
                </c:pt>
                <c:pt idx="71">
                  <c:v>0.04</c:v>
                </c:pt>
                <c:pt idx="72">
                  <c:v>3.6000000000000004E-2</c:v>
                </c:pt>
                <c:pt idx="73">
                  <c:v>3.4000000000000002E-2</c:v>
                </c:pt>
                <c:pt idx="74">
                  <c:v>3.2000000000000001E-2</c:v>
                </c:pt>
                <c:pt idx="75">
                  <c:v>0.03</c:v>
                </c:pt>
                <c:pt idx="76">
                  <c:v>0.03</c:v>
                </c:pt>
                <c:pt idx="77">
                  <c:v>0.03</c:v>
                </c:pt>
                <c:pt idx="78">
                  <c:v>2.7999999999999997E-2</c:v>
                </c:pt>
                <c:pt idx="79">
                  <c:v>2.6000000000000002E-2</c:v>
                </c:pt>
                <c:pt idx="80">
                  <c:v>2.4E-2</c:v>
                </c:pt>
                <c:pt idx="81">
                  <c:v>2.2000000000000002E-2</c:v>
                </c:pt>
                <c:pt idx="82">
                  <c:v>1.8000000000000002E-2</c:v>
                </c:pt>
                <c:pt idx="83">
                  <c:v>1.6E-2</c:v>
                </c:pt>
                <c:pt idx="84">
                  <c:v>1.3999999999999999E-2</c:v>
                </c:pt>
                <c:pt idx="85">
                  <c:v>1.2E-2</c:v>
                </c:pt>
                <c:pt idx="86">
                  <c:v>0.01</c:v>
                </c:pt>
                <c:pt idx="87">
                  <c:v>0.01</c:v>
                </c:pt>
                <c:pt idx="88">
                  <c:v>0.01</c:v>
                </c:pt>
                <c:pt idx="89">
                  <c:v>0.01</c:v>
                </c:pt>
                <c:pt idx="90">
                  <c:v>8.0000000000000002E-3</c:v>
                </c:pt>
                <c:pt idx="91">
                  <c:v>6.0000000000000001E-3</c:v>
                </c:pt>
                <c:pt idx="92">
                  <c:v>4.0000000000000001E-3</c:v>
                </c:pt>
                <c:pt idx="93">
                  <c:v>2E-3</c:v>
                </c:pt>
                <c:pt idx="94">
                  <c:v>0</c:v>
                </c:pt>
                <c:pt idx="95">
                  <c:v>0</c:v>
                </c:pt>
                <c:pt idx="96">
                  <c:v>0</c:v>
                </c:pt>
                <c:pt idx="97">
                  <c:v>0</c:v>
                </c:pt>
                <c:pt idx="98">
                  <c:v>0</c:v>
                </c:pt>
                <c:pt idx="99">
                  <c:v>0</c:v>
                </c:pt>
                <c:pt idx="100">
                  <c:v>0</c:v>
                </c:pt>
              </c:numCache>
            </c:numRef>
          </c:yVal>
          <c:smooth val="0"/>
          <c:extLst>
            <c:ext xmlns:c16="http://schemas.microsoft.com/office/drawing/2014/chart" uri="{C3380CC4-5D6E-409C-BE32-E72D297353CC}">
              <c16:uniqueId val="{00000000-EF3D-40D9-842C-C23000946581}"/>
            </c:ext>
          </c:extLst>
        </c:ser>
        <c:ser>
          <c:idx val="1"/>
          <c:order val="1"/>
          <c:tx>
            <c:v>% False Negative</c:v>
          </c:tx>
          <c:spPr>
            <a:ln w="28575">
              <a:solidFill>
                <a:srgbClr val="FF0000"/>
              </a:solidFill>
            </a:ln>
          </c:spPr>
          <c:marker>
            <c:symbol val="none"/>
          </c:marker>
          <c:xVal>
            <c:numRef>
              <c:f>'Model 1'!$AK$267:$EG$267</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1'!$AK$269:$EG$269</c:f>
              <c:numCache>
                <c:formatCode>#,##0.000</c:formatCode>
                <c:ptCount val="101"/>
                <c:pt idx="0">
                  <c:v>0</c:v>
                </c:pt>
                <c:pt idx="1">
                  <c:v>0</c:v>
                </c:pt>
                <c:pt idx="2">
                  <c:v>0</c:v>
                </c:pt>
                <c:pt idx="3">
                  <c:v>0</c:v>
                </c:pt>
                <c:pt idx="4">
                  <c:v>0</c:v>
                </c:pt>
                <c:pt idx="5">
                  <c:v>0</c:v>
                </c:pt>
                <c:pt idx="6">
                  <c:v>0</c:v>
                </c:pt>
                <c:pt idx="7">
                  <c:v>0</c:v>
                </c:pt>
                <c:pt idx="8">
                  <c:v>0</c:v>
                </c:pt>
                <c:pt idx="9">
                  <c:v>0</c:v>
                </c:pt>
                <c:pt idx="10">
                  <c:v>2E-3</c:v>
                </c:pt>
                <c:pt idx="11">
                  <c:v>4.0000000000000001E-3</c:v>
                </c:pt>
                <c:pt idx="12">
                  <c:v>6.0000000000000001E-3</c:v>
                </c:pt>
                <c:pt idx="13">
                  <c:v>8.0000000000000002E-3</c:v>
                </c:pt>
                <c:pt idx="14">
                  <c:v>0.01</c:v>
                </c:pt>
                <c:pt idx="15">
                  <c:v>0.01</c:v>
                </c:pt>
                <c:pt idx="16">
                  <c:v>1.2E-2</c:v>
                </c:pt>
                <c:pt idx="17">
                  <c:v>1.3999999999999999E-2</c:v>
                </c:pt>
                <c:pt idx="18">
                  <c:v>1.8000000000000002E-2</c:v>
                </c:pt>
                <c:pt idx="19">
                  <c:v>2.2000000000000002E-2</c:v>
                </c:pt>
                <c:pt idx="20">
                  <c:v>2.6000000000000002E-2</c:v>
                </c:pt>
                <c:pt idx="21">
                  <c:v>2.7999999999999997E-2</c:v>
                </c:pt>
                <c:pt idx="22">
                  <c:v>0.03</c:v>
                </c:pt>
                <c:pt idx="23">
                  <c:v>0.03</c:v>
                </c:pt>
                <c:pt idx="24">
                  <c:v>0.03</c:v>
                </c:pt>
                <c:pt idx="25">
                  <c:v>3.2000000000000001E-2</c:v>
                </c:pt>
                <c:pt idx="26">
                  <c:v>3.4000000000000002E-2</c:v>
                </c:pt>
                <c:pt idx="27">
                  <c:v>3.6000000000000004E-2</c:v>
                </c:pt>
                <c:pt idx="28">
                  <c:v>0.04</c:v>
                </c:pt>
                <c:pt idx="29">
                  <c:v>4.4000000000000004E-2</c:v>
                </c:pt>
                <c:pt idx="30">
                  <c:v>4.5999999999999999E-2</c:v>
                </c:pt>
                <c:pt idx="31">
                  <c:v>4.8000000000000001E-2</c:v>
                </c:pt>
                <c:pt idx="32">
                  <c:v>0.05</c:v>
                </c:pt>
                <c:pt idx="33">
                  <c:v>0.05</c:v>
                </c:pt>
                <c:pt idx="34">
                  <c:v>0.05</c:v>
                </c:pt>
                <c:pt idx="35">
                  <c:v>5.4000000000000006E-2</c:v>
                </c:pt>
                <c:pt idx="36">
                  <c:v>5.7999999999999996E-2</c:v>
                </c:pt>
                <c:pt idx="37">
                  <c:v>6.4000000000000001E-2</c:v>
                </c:pt>
                <c:pt idx="38">
                  <c:v>7.400000000000001E-2</c:v>
                </c:pt>
                <c:pt idx="39">
                  <c:v>8.4000000000000005E-2</c:v>
                </c:pt>
                <c:pt idx="40">
                  <c:v>0.09</c:v>
                </c:pt>
                <c:pt idx="41">
                  <c:v>9.6000000000000002E-2</c:v>
                </c:pt>
                <c:pt idx="42">
                  <c:v>0.10199999999999999</c:v>
                </c:pt>
                <c:pt idx="43">
                  <c:v>0.10400000000000001</c:v>
                </c:pt>
                <c:pt idx="44">
                  <c:v>0.106</c:v>
                </c:pt>
                <c:pt idx="45">
                  <c:v>0.10800000000000001</c:v>
                </c:pt>
                <c:pt idx="46">
                  <c:v>0.11199999999999999</c:v>
                </c:pt>
                <c:pt idx="47">
                  <c:v>0.114</c:v>
                </c:pt>
                <c:pt idx="48">
                  <c:v>0.11800000000000001</c:v>
                </c:pt>
                <c:pt idx="49">
                  <c:v>0.122</c:v>
                </c:pt>
                <c:pt idx="50">
                  <c:v>0.126</c:v>
                </c:pt>
                <c:pt idx="51">
                  <c:v>0.128</c:v>
                </c:pt>
                <c:pt idx="52">
                  <c:v>0.13</c:v>
                </c:pt>
                <c:pt idx="53">
                  <c:v>0.13200000000000001</c:v>
                </c:pt>
                <c:pt idx="54">
                  <c:v>0.13400000000000001</c:v>
                </c:pt>
                <c:pt idx="55">
                  <c:v>0.13600000000000001</c:v>
                </c:pt>
                <c:pt idx="56">
                  <c:v>0.13800000000000001</c:v>
                </c:pt>
                <c:pt idx="57">
                  <c:v>0.14199999999999999</c:v>
                </c:pt>
                <c:pt idx="58">
                  <c:v>0.14400000000000002</c:v>
                </c:pt>
                <c:pt idx="59">
                  <c:v>0.14599999999999999</c:v>
                </c:pt>
                <c:pt idx="60">
                  <c:v>0.14800000000000002</c:v>
                </c:pt>
                <c:pt idx="61">
                  <c:v>0.15</c:v>
                </c:pt>
                <c:pt idx="62">
                  <c:v>0.152</c:v>
                </c:pt>
                <c:pt idx="63">
                  <c:v>0.154</c:v>
                </c:pt>
                <c:pt idx="64">
                  <c:v>0.156</c:v>
                </c:pt>
                <c:pt idx="65">
                  <c:v>0.158</c:v>
                </c:pt>
                <c:pt idx="66">
                  <c:v>0.16200000000000001</c:v>
                </c:pt>
                <c:pt idx="67">
                  <c:v>0.16399999999999998</c:v>
                </c:pt>
                <c:pt idx="68">
                  <c:v>0.16600000000000001</c:v>
                </c:pt>
                <c:pt idx="69">
                  <c:v>0.17</c:v>
                </c:pt>
                <c:pt idx="70">
                  <c:v>0.17600000000000002</c:v>
                </c:pt>
                <c:pt idx="71">
                  <c:v>0.18</c:v>
                </c:pt>
                <c:pt idx="72">
                  <c:v>0.18600000000000003</c:v>
                </c:pt>
                <c:pt idx="73">
                  <c:v>0.19399999999999998</c:v>
                </c:pt>
                <c:pt idx="74">
                  <c:v>0.2</c:v>
                </c:pt>
                <c:pt idx="75">
                  <c:v>0.20399999999999999</c:v>
                </c:pt>
                <c:pt idx="76">
                  <c:v>0.20800000000000002</c:v>
                </c:pt>
                <c:pt idx="77">
                  <c:v>0.21</c:v>
                </c:pt>
                <c:pt idx="78">
                  <c:v>0.21</c:v>
                </c:pt>
                <c:pt idx="79">
                  <c:v>0.21</c:v>
                </c:pt>
                <c:pt idx="80">
                  <c:v>0.21199999999999999</c:v>
                </c:pt>
                <c:pt idx="81">
                  <c:v>0.218</c:v>
                </c:pt>
                <c:pt idx="82">
                  <c:v>0.22800000000000001</c:v>
                </c:pt>
                <c:pt idx="83">
                  <c:v>0.24</c:v>
                </c:pt>
                <c:pt idx="84">
                  <c:v>0.254</c:v>
                </c:pt>
                <c:pt idx="85">
                  <c:v>0.27</c:v>
                </c:pt>
                <c:pt idx="86">
                  <c:v>0.28399999999999997</c:v>
                </c:pt>
                <c:pt idx="87">
                  <c:v>0.29600000000000004</c:v>
                </c:pt>
                <c:pt idx="88">
                  <c:v>0.30599999999999999</c:v>
                </c:pt>
                <c:pt idx="89">
                  <c:v>0.314</c:v>
                </c:pt>
                <c:pt idx="90">
                  <c:v>0.32200000000000001</c:v>
                </c:pt>
                <c:pt idx="91">
                  <c:v>0.33</c:v>
                </c:pt>
                <c:pt idx="92">
                  <c:v>0.34</c:v>
                </c:pt>
                <c:pt idx="93">
                  <c:v>0.35</c:v>
                </c:pt>
                <c:pt idx="94">
                  <c:v>0.36200000000000004</c:v>
                </c:pt>
                <c:pt idx="95">
                  <c:v>0.38</c:v>
                </c:pt>
                <c:pt idx="96">
                  <c:v>0.39799999999999996</c:v>
                </c:pt>
                <c:pt idx="97">
                  <c:v>0.42</c:v>
                </c:pt>
                <c:pt idx="98">
                  <c:v>0.44400000000000001</c:v>
                </c:pt>
                <c:pt idx="99">
                  <c:v>0.48</c:v>
                </c:pt>
                <c:pt idx="100">
                  <c:v>0.49</c:v>
                </c:pt>
              </c:numCache>
            </c:numRef>
          </c:yVal>
          <c:smooth val="0"/>
          <c:extLst>
            <c:ext xmlns:c16="http://schemas.microsoft.com/office/drawing/2014/chart" uri="{C3380CC4-5D6E-409C-BE32-E72D297353CC}">
              <c16:uniqueId val="{00000001-EF3D-40D9-842C-C23000946581}"/>
            </c:ext>
          </c:extLst>
        </c:ser>
        <c:ser>
          <c:idx val="2"/>
          <c:order val="2"/>
          <c:tx>
            <c:v>Total % False</c:v>
          </c:tx>
          <c:spPr>
            <a:ln w="28575" cap="rnd" cmpd="sng" algn="ctr">
              <a:solidFill>
                <a:sysClr val="window" lastClr="FFFFFF">
                  <a:lumMod val="65000"/>
                </a:sysClr>
              </a:solidFill>
              <a:prstDash val="sysDash"/>
              <a:round/>
              <a:headEnd type="none" w="med" len="med"/>
              <a:tailEnd type="none" w="med" len="med"/>
            </a:ln>
          </c:spPr>
          <c:marker>
            <c:symbol val="none"/>
          </c:marker>
          <c:xVal>
            <c:numRef>
              <c:f>'Model 1'!$AK$267:$EG$267</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1'!$AK$270:$EG$270</c:f>
              <c:numCache>
                <c:formatCode>#,##0.000</c:formatCode>
                <c:ptCount val="101"/>
                <c:pt idx="0">
                  <c:v>0.51</c:v>
                </c:pt>
                <c:pt idx="1">
                  <c:v>0.51</c:v>
                </c:pt>
                <c:pt idx="2">
                  <c:v>0.46600000000000003</c:v>
                </c:pt>
                <c:pt idx="3">
                  <c:v>0.44799999999999995</c:v>
                </c:pt>
                <c:pt idx="4">
                  <c:v>0.42799999999999999</c:v>
                </c:pt>
                <c:pt idx="5">
                  <c:v>0.41399999999999998</c:v>
                </c:pt>
                <c:pt idx="6">
                  <c:v>0.40200000000000002</c:v>
                </c:pt>
                <c:pt idx="7">
                  <c:v>0.38600000000000001</c:v>
                </c:pt>
                <c:pt idx="8">
                  <c:v>0.36599999999999999</c:v>
                </c:pt>
                <c:pt idx="9">
                  <c:v>0.34799999999999998</c:v>
                </c:pt>
                <c:pt idx="10">
                  <c:v>0.33400000000000002</c:v>
                </c:pt>
                <c:pt idx="11">
                  <c:v>0.32400000000000001</c:v>
                </c:pt>
                <c:pt idx="12">
                  <c:v>0.316</c:v>
                </c:pt>
                <c:pt idx="13">
                  <c:v>0.308</c:v>
                </c:pt>
                <c:pt idx="14">
                  <c:v>0.3</c:v>
                </c:pt>
                <c:pt idx="15">
                  <c:v>0.29000000000000004</c:v>
                </c:pt>
                <c:pt idx="16">
                  <c:v>0.28200000000000003</c:v>
                </c:pt>
                <c:pt idx="17">
                  <c:v>0.27800000000000002</c:v>
                </c:pt>
                <c:pt idx="18">
                  <c:v>0.28000000000000003</c:v>
                </c:pt>
                <c:pt idx="19">
                  <c:v>0.27800000000000002</c:v>
                </c:pt>
                <c:pt idx="20">
                  <c:v>0.27800000000000002</c:v>
                </c:pt>
                <c:pt idx="21">
                  <c:v>0.27200000000000002</c:v>
                </c:pt>
                <c:pt idx="22">
                  <c:v>0.26600000000000001</c:v>
                </c:pt>
                <c:pt idx="23">
                  <c:v>0.25600000000000001</c:v>
                </c:pt>
                <c:pt idx="24">
                  <c:v>0.248</c:v>
                </c:pt>
                <c:pt idx="25">
                  <c:v>0.23800000000000002</c:v>
                </c:pt>
                <c:pt idx="26">
                  <c:v>0.23200000000000001</c:v>
                </c:pt>
                <c:pt idx="27">
                  <c:v>0.224</c:v>
                </c:pt>
                <c:pt idx="28">
                  <c:v>0.21800000000000003</c:v>
                </c:pt>
                <c:pt idx="29">
                  <c:v>0.21400000000000002</c:v>
                </c:pt>
                <c:pt idx="30">
                  <c:v>0.21200000000000002</c:v>
                </c:pt>
                <c:pt idx="31">
                  <c:v>0.21000000000000002</c:v>
                </c:pt>
                <c:pt idx="32">
                  <c:v>0.20800000000000002</c:v>
                </c:pt>
                <c:pt idx="33">
                  <c:v>0.20600000000000002</c:v>
                </c:pt>
                <c:pt idx="34">
                  <c:v>0.20400000000000001</c:v>
                </c:pt>
                <c:pt idx="35">
                  <c:v>0.20600000000000002</c:v>
                </c:pt>
                <c:pt idx="36">
                  <c:v>0.20799999999999999</c:v>
                </c:pt>
                <c:pt idx="37">
                  <c:v>0.214</c:v>
                </c:pt>
                <c:pt idx="38">
                  <c:v>0.224</c:v>
                </c:pt>
                <c:pt idx="39">
                  <c:v>0.22999999999999998</c:v>
                </c:pt>
                <c:pt idx="40">
                  <c:v>0.23199999999999998</c:v>
                </c:pt>
                <c:pt idx="41">
                  <c:v>0.23200000000000001</c:v>
                </c:pt>
                <c:pt idx="42">
                  <c:v>0.22999999999999998</c:v>
                </c:pt>
                <c:pt idx="43">
                  <c:v>0.224</c:v>
                </c:pt>
                <c:pt idx="44">
                  <c:v>0.22199999999999998</c:v>
                </c:pt>
                <c:pt idx="45">
                  <c:v>0.22</c:v>
                </c:pt>
                <c:pt idx="46">
                  <c:v>0.22199999999999998</c:v>
                </c:pt>
                <c:pt idx="47">
                  <c:v>0.22200000000000003</c:v>
                </c:pt>
                <c:pt idx="48">
                  <c:v>0.224</c:v>
                </c:pt>
                <c:pt idx="49">
                  <c:v>0.22600000000000001</c:v>
                </c:pt>
                <c:pt idx="50">
                  <c:v>0.22600000000000001</c:v>
                </c:pt>
                <c:pt idx="51">
                  <c:v>0.222</c:v>
                </c:pt>
                <c:pt idx="52">
                  <c:v>0.22</c:v>
                </c:pt>
                <c:pt idx="53">
                  <c:v>0.218</c:v>
                </c:pt>
                <c:pt idx="54">
                  <c:v>0.216</c:v>
                </c:pt>
                <c:pt idx="55">
                  <c:v>0.21600000000000003</c:v>
                </c:pt>
                <c:pt idx="56">
                  <c:v>0.21600000000000003</c:v>
                </c:pt>
                <c:pt idx="57">
                  <c:v>0.21799999999999997</c:v>
                </c:pt>
                <c:pt idx="58">
                  <c:v>0.21800000000000003</c:v>
                </c:pt>
                <c:pt idx="59">
                  <c:v>0.218</c:v>
                </c:pt>
                <c:pt idx="60">
                  <c:v>0.21800000000000003</c:v>
                </c:pt>
                <c:pt idx="61">
                  <c:v>0.22</c:v>
                </c:pt>
                <c:pt idx="62">
                  <c:v>0.222</c:v>
                </c:pt>
                <c:pt idx="63">
                  <c:v>0.224</c:v>
                </c:pt>
                <c:pt idx="64">
                  <c:v>0.22600000000000001</c:v>
                </c:pt>
                <c:pt idx="65">
                  <c:v>0.22800000000000001</c:v>
                </c:pt>
                <c:pt idx="66">
                  <c:v>0.22800000000000001</c:v>
                </c:pt>
                <c:pt idx="67">
                  <c:v>0.22599999999999998</c:v>
                </c:pt>
                <c:pt idx="68">
                  <c:v>0.222</c:v>
                </c:pt>
                <c:pt idx="69">
                  <c:v>0.22000000000000003</c:v>
                </c:pt>
                <c:pt idx="70">
                  <c:v>0.22000000000000003</c:v>
                </c:pt>
                <c:pt idx="71">
                  <c:v>0.22</c:v>
                </c:pt>
                <c:pt idx="72">
                  <c:v>0.22200000000000003</c:v>
                </c:pt>
                <c:pt idx="73">
                  <c:v>0.22799999999999998</c:v>
                </c:pt>
                <c:pt idx="74">
                  <c:v>0.23200000000000001</c:v>
                </c:pt>
                <c:pt idx="75">
                  <c:v>0.23399999999999999</c:v>
                </c:pt>
                <c:pt idx="76">
                  <c:v>0.23800000000000002</c:v>
                </c:pt>
                <c:pt idx="77">
                  <c:v>0.24</c:v>
                </c:pt>
                <c:pt idx="78">
                  <c:v>0.23799999999999999</c:v>
                </c:pt>
                <c:pt idx="79">
                  <c:v>0.23599999999999999</c:v>
                </c:pt>
                <c:pt idx="80">
                  <c:v>0.23599999999999999</c:v>
                </c:pt>
                <c:pt idx="81">
                  <c:v>0.24</c:v>
                </c:pt>
                <c:pt idx="82">
                  <c:v>0.246</c:v>
                </c:pt>
                <c:pt idx="83">
                  <c:v>0.25600000000000001</c:v>
                </c:pt>
                <c:pt idx="84">
                  <c:v>0.26800000000000002</c:v>
                </c:pt>
                <c:pt idx="85">
                  <c:v>0.28200000000000003</c:v>
                </c:pt>
                <c:pt idx="86">
                  <c:v>0.29399999999999998</c:v>
                </c:pt>
                <c:pt idx="87">
                  <c:v>0.30600000000000005</c:v>
                </c:pt>
                <c:pt idx="88">
                  <c:v>0.316</c:v>
                </c:pt>
                <c:pt idx="89">
                  <c:v>0.32400000000000001</c:v>
                </c:pt>
                <c:pt idx="90">
                  <c:v>0.33</c:v>
                </c:pt>
                <c:pt idx="91">
                  <c:v>0.33600000000000002</c:v>
                </c:pt>
                <c:pt idx="92">
                  <c:v>0.34400000000000003</c:v>
                </c:pt>
                <c:pt idx="93">
                  <c:v>0.35199999999999998</c:v>
                </c:pt>
                <c:pt idx="94">
                  <c:v>0.36200000000000004</c:v>
                </c:pt>
                <c:pt idx="95">
                  <c:v>0.38</c:v>
                </c:pt>
                <c:pt idx="96">
                  <c:v>0.39799999999999996</c:v>
                </c:pt>
                <c:pt idx="97">
                  <c:v>0.42</c:v>
                </c:pt>
                <c:pt idx="98">
                  <c:v>0.44400000000000001</c:v>
                </c:pt>
                <c:pt idx="99">
                  <c:v>0.48</c:v>
                </c:pt>
                <c:pt idx="100">
                  <c:v>0.49</c:v>
                </c:pt>
              </c:numCache>
            </c:numRef>
          </c:yVal>
          <c:smooth val="0"/>
          <c:extLst>
            <c:ext xmlns:c16="http://schemas.microsoft.com/office/drawing/2014/chart" uri="{C3380CC4-5D6E-409C-BE32-E72D297353CC}">
              <c16:uniqueId val="{00000002-EF3D-40D9-842C-C23000946581}"/>
            </c:ext>
          </c:extLst>
        </c:ser>
        <c:ser>
          <c:idx val="3"/>
          <c:order val="3"/>
          <c:tx>
            <c:strRef>
              <c:f>'Model 1'!$AJ$271</c:f>
              <c:strCache>
                <c:ptCount val="1"/>
                <c:pt idx="0">
                  <c:v>50% Wtd.Avg.</c:v>
                </c:pt>
              </c:strCache>
            </c:strRef>
          </c:tx>
          <c:spPr>
            <a:ln w="28575" cap="rnd" cmpd="sng" algn="ctr">
              <a:solidFill>
                <a:sysClr val="window" lastClr="FFFFFF">
                  <a:lumMod val="50000"/>
                </a:sysClr>
              </a:solidFill>
              <a:prstDash val="sysDot"/>
              <a:round/>
              <a:headEnd type="none" w="med" len="med"/>
              <a:tailEnd type="none" w="med" len="med"/>
            </a:ln>
          </c:spPr>
          <c:marker>
            <c:symbol val="none"/>
          </c:marker>
          <c:xVal>
            <c:numRef>
              <c:f>'Model 1'!$AK$267:$EG$267</c:f>
              <c:numCache>
                <c:formatCode>#,##0.000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'Model 1'!$AK$271:$EG$271</c:f>
              <c:numCache>
                <c:formatCode>#,##0.000</c:formatCode>
                <c:ptCount val="101"/>
                <c:pt idx="0">
                  <c:v>0.255</c:v>
                </c:pt>
                <c:pt idx="1">
                  <c:v>0.255</c:v>
                </c:pt>
                <c:pt idx="2">
                  <c:v>0.23300000000000001</c:v>
                </c:pt>
                <c:pt idx="3">
                  <c:v>0.22399999999999998</c:v>
                </c:pt>
                <c:pt idx="4">
                  <c:v>0.214</c:v>
                </c:pt>
                <c:pt idx="5">
                  <c:v>0.20699999999999999</c:v>
                </c:pt>
                <c:pt idx="6">
                  <c:v>0.20100000000000001</c:v>
                </c:pt>
                <c:pt idx="7">
                  <c:v>0.193</c:v>
                </c:pt>
                <c:pt idx="8">
                  <c:v>0.183</c:v>
                </c:pt>
                <c:pt idx="9">
                  <c:v>0.17399999999999999</c:v>
                </c:pt>
                <c:pt idx="10">
                  <c:v>0.16700000000000001</c:v>
                </c:pt>
                <c:pt idx="11">
                  <c:v>0.16200000000000001</c:v>
                </c:pt>
                <c:pt idx="12">
                  <c:v>0.158</c:v>
                </c:pt>
                <c:pt idx="13">
                  <c:v>0.154</c:v>
                </c:pt>
                <c:pt idx="14">
                  <c:v>0.15</c:v>
                </c:pt>
                <c:pt idx="15">
                  <c:v>0.14500000000000002</c:v>
                </c:pt>
                <c:pt idx="16">
                  <c:v>0.14100000000000001</c:v>
                </c:pt>
                <c:pt idx="17">
                  <c:v>0.13900000000000001</c:v>
                </c:pt>
                <c:pt idx="18">
                  <c:v>0.14000000000000001</c:v>
                </c:pt>
                <c:pt idx="19">
                  <c:v>0.13900000000000001</c:v>
                </c:pt>
                <c:pt idx="20">
                  <c:v>0.13900000000000001</c:v>
                </c:pt>
                <c:pt idx="21">
                  <c:v>0.13600000000000001</c:v>
                </c:pt>
                <c:pt idx="22">
                  <c:v>0.13300000000000001</c:v>
                </c:pt>
                <c:pt idx="23">
                  <c:v>0.128</c:v>
                </c:pt>
                <c:pt idx="24">
                  <c:v>0.124</c:v>
                </c:pt>
                <c:pt idx="25">
                  <c:v>0.11900000000000001</c:v>
                </c:pt>
                <c:pt idx="26">
                  <c:v>0.11600000000000001</c:v>
                </c:pt>
                <c:pt idx="27">
                  <c:v>0.112</c:v>
                </c:pt>
                <c:pt idx="28">
                  <c:v>0.10900000000000001</c:v>
                </c:pt>
                <c:pt idx="29">
                  <c:v>0.10700000000000001</c:v>
                </c:pt>
                <c:pt idx="30">
                  <c:v>0.10600000000000001</c:v>
                </c:pt>
                <c:pt idx="31">
                  <c:v>0.10500000000000001</c:v>
                </c:pt>
                <c:pt idx="32">
                  <c:v>0.10400000000000001</c:v>
                </c:pt>
                <c:pt idx="33">
                  <c:v>0.10300000000000001</c:v>
                </c:pt>
                <c:pt idx="34">
                  <c:v>0.10200000000000001</c:v>
                </c:pt>
                <c:pt idx="35">
                  <c:v>0.10300000000000001</c:v>
                </c:pt>
                <c:pt idx="36">
                  <c:v>0.104</c:v>
                </c:pt>
                <c:pt idx="37">
                  <c:v>0.107</c:v>
                </c:pt>
                <c:pt idx="38">
                  <c:v>0.112</c:v>
                </c:pt>
                <c:pt idx="39">
                  <c:v>0.11499999999999999</c:v>
                </c:pt>
                <c:pt idx="40">
                  <c:v>0.11599999999999999</c:v>
                </c:pt>
                <c:pt idx="41">
                  <c:v>0.11600000000000001</c:v>
                </c:pt>
                <c:pt idx="42">
                  <c:v>0.11499999999999999</c:v>
                </c:pt>
                <c:pt idx="43">
                  <c:v>0.112</c:v>
                </c:pt>
                <c:pt idx="44">
                  <c:v>0.11099999999999999</c:v>
                </c:pt>
                <c:pt idx="45">
                  <c:v>0.11</c:v>
                </c:pt>
                <c:pt idx="46">
                  <c:v>0.11099999999999999</c:v>
                </c:pt>
                <c:pt idx="47">
                  <c:v>0.11100000000000002</c:v>
                </c:pt>
                <c:pt idx="48">
                  <c:v>0.112</c:v>
                </c:pt>
                <c:pt idx="49">
                  <c:v>0.113</c:v>
                </c:pt>
                <c:pt idx="50">
                  <c:v>0.113</c:v>
                </c:pt>
                <c:pt idx="51">
                  <c:v>0.111</c:v>
                </c:pt>
                <c:pt idx="52">
                  <c:v>0.11</c:v>
                </c:pt>
                <c:pt idx="53">
                  <c:v>0.109</c:v>
                </c:pt>
                <c:pt idx="54">
                  <c:v>0.108</c:v>
                </c:pt>
                <c:pt idx="55">
                  <c:v>0.10800000000000001</c:v>
                </c:pt>
                <c:pt idx="56">
                  <c:v>0.10800000000000001</c:v>
                </c:pt>
                <c:pt idx="57">
                  <c:v>0.10899999999999999</c:v>
                </c:pt>
                <c:pt idx="58">
                  <c:v>0.10900000000000001</c:v>
                </c:pt>
                <c:pt idx="59">
                  <c:v>0.109</c:v>
                </c:pt>
                <c:pt idx="60">
                  <c:v>0.10900000000000001</c:v>
                </c:pt>
                <c:pt idx="61">
                  <c:v>0.11</c:v>
                </c:pt>
                <c:pt idx="62">
                  <c:v>0.111</c:v>
                </c:pt>
                <c:pt idx="63">
                  <c:v>0.112</c:v>
                </c:pt>
                <c:pt idx="64">
                  <c:v>0.113</c:v>
                </c:pt>
                <c:pt idx="65">
                  <c:v>0.114</c:v>
                </c:pt>
                <c:pt idx="66">
                  <c:v>0.114</c:v>
                </c:pt>
                <c:pt idx="67">
                  <c:v>0.11299999999999999</c:v>
                </c:pt>
                <c:pt idx="68">
                  <c:v>0.111</c:v>
                </c:pt>
                <c:pt idx="69">
                  <c:v>0.11000000000000001</c:v>
                </c:pt>
                <c:pt idx="70">
                  <c:v>0.11000000000000001</c:v>
                </c:pt>
                <c:pt idx="71">
                  <c:v>0.11</c:v>
                </c:pt>
                <c:pt idx="72">
                  <c:v>0.11100000000000002</c:v>
                </c:pt>
                <c:pt idx="73">
                  <c:v>0.11399999999999999</c:v>
                </c:pt>
                <c:pt idx="74">
                  <c:v>0.11600000000000001</c:v>
                </c:pt>
                <c:pt idx="75">
                  <c:v>0.11699999999999999</c:v>
                </c:pt>
                <c:pt idx="76">
                  <c:v>0.11900000000000001</c:v>
                </c:pt>
                <c:pt idx="77">
                  <c:v>0.12</c:v>
                </c:pt>
                <c:pt idx="78">
                  <c:v>0.11899999999999999</c:v>
                </c:pt>
                <c:pt idx="79">
                  <c:v>0.11799999999999999</c:v>
                </c:pt>
                <c:pt idx="80">
                  <c:v>0.11799999999999999</c:v>
                </c:pt>
                <c:pt idx="81">
                  <c:v>0.12</c:v>
                </c:pt>
                <c:pt idx="82">
                  <c:v>0.123</c:v>
                </c:pt>
                <c:pt idx="83">
                  <c:v>0.128</c:v>
                </c:pt>
                <c:pt idx="84">
                  <c:v>0.13400000000000001</c:v>
                </c:pt>
                <c:pt idx="85">
                  <c:v>0.14100000000000001</c:v>
                </c:pt>
                <c:pt idx="86">
                  <c:v>0.14699999999999999</c:v>
                </c:pt>
                <c:pt idx="87">
                  <c:v>0.15300000000000002</c:v>
                </c:pt>
                <c:pt idx="88">
                  <c:v>0.158</c:v>
                </c:pt>
                <c:pt idx="89">
                  <c:v>0.16200000000000001</c:v>
                </c:pt>
                <c:pt idx="90">
                  <c:v>0.16500000000000001</c:v>
                </c:pt>
                <c:pt idx="91">
                  <c:v>0.16800000000000001</c:v>
                </c:pt>
                <c:pt idx="92">
                  <c:v>0.17200000000000001</c:v>
                </c:pt>
                <c:pt idx="93">
                  <c:v>0.17599999999999999</c:v>
                </c:pt>
                <c:pt idx="94">
                  <c:v>0.18100000000000002</c:v>
                </c:pt>
                <c:pt idx="95">
                  <c:v>0.19</c:v>
                </c:pt>
                <c:pt idx="96">
                  <c:v>0.19899999999999998</c:v>
                </c:pt>
                <c:pt idx="97">
                  <c:v>0.21</c:v>
                </c:pt>
                <c:pt idx="98">
                  <c:v>0.222</c:v>
                </c:pt>
                <c:pt idx="99">
                  <c:v>0.24</c:v>
                </c:pt>
                <c:pt idx="100">
                  <c:v>0.245</c:v>
                </c:pt>
              </c:numCache>
            </c:numRef>
          </c:yVal>
          <c:smooth val="0"/>
          <c:extLst>
            <c:ext xmlns:c16="http://schemas.microsoft.com/office/drawing/2014/chart" uri="{C3380CC4-5D6E-409C-BE32-E72D297353CC}">
              <c16:uniqueId val="{00000003-EF3D-40D9-842C-C23000946581}"/>
            </c:ext>
          </c:extLst>
        </c:ser>
        <c:dLbls>
          <c:showLegendKey val="0"/>
          <c:showVal val="0"/>
          <c:showCatName val="0"/>
          <c:showSerName val="0"/>
          <c:showPercent val="0"/>
          <c:showBubbleSize val="0"/>
        </c:dLbls>
        <c:axId val="951191487"/>
        <c:axId val="961017599"/>
      </c:scatterChart>
      <c:valAx>
        <c:axId val="951191487"/>
        <c:scaling>
          <c:orientation val="minMax"/>
          <c:max val="1"/>
          <c:min val="0"/>
        </c:scaling>
        <c:delete val="0"/>
        <c:axPos val="b"/>
        <c:majorGridlines>
          <c:spPr>
            <a:ln w="3175">
              <a:solidFill>
                <a:srgbClr val="C0C0C0"/>
              </a:solidFill>
              <a:prstDash val="solid"/>
            </a:ln>
          </c:spPr>
        </c:majorGridlines>
        <c:title>
          <c:tx>
            <c:rich>
              <a:bodyPr/>
              <a:lstStyle/>
              <a:p>
                <a:pPr>
                  <a:defRPr/>
                </a:pPr>
                <a:r>
                  <a:rPr lang="en-US"/>
                  <a:t>Cutoff</a:t>
                </a:r>
              </a:p>
            </c:rich>
          </c:tx>
          <c:overlay val="0"/>
        </c:title>
        <c:numFmt formatCode="0.0" sourceLinked="0"/>
        <c:majorTickMark val="out"/>
        <c:minorTickMark val="none"/>
        <c:tickLblPos val="nextTo"/>
        <c:crossAx val="961017599"/>
        <c:crosses val="autoZero"/>
        <c:crossBetween val="midCat"/>
      </c:valAx>
      <c:valAx>
        <c:axId val="961017599"/>
        <c:scaling>
          <c:orientation val="minMax"/>
          <c:max val="1"/>
          <c:min val="0"/>
        </c:scaling>
        <c:delete val="0"/>
        <c:axPos val="l"/>
        <c:majorGridlines>
          <c:spPr>
            <a:ln w="3175">
              <a:solidFill>
                <a:srgbClr val="C0C0C0"/>
              </a:solidFill>
              <a:prstDash val="solid"/>
            </a:ln>
          </c:spPr>
        </c:majorGridlines>
        <c:numFmt formatCode="0%" sourceLinked="0"/>
        <c:majorTickMark val="out"/>
        <c:minorTickMark val="none"/>
        <c:tickLblPos val="nextTo"/>
        <c:crossAx val="951191487"/>
        <c:crosses val="autoZero"/>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trlProps/ctrlProp1.xml><?xml version="1.0" encoding="utf-8"?>
<formControlPr xmlns="http://schemas.microsoft.com/office/spreadsheetml/2009/9/main" objectType="Spin" dx="22" fmlaLink="$AJ$10" max="11" min="1" page="10" val="7"/>
</file>

<file path=xl/ctrlProps/ctrlProp2.xml><?xml version="1.0" encoding="utf-8"?>
<formControlPr xmlns="http://schemas.microsoft.com/office/spreadsheetml/2009/9/main" objectType="Spin" dx="22" fmlaLink="$I$65" max="20" page="10" val="10"/>
</file>

<file path=xl/ctrlProps/ctrlProp3.xml><?xml version="1.0" encoding="utf-8"?>
<formControlPr xmlns="http://schemas.microsoft.com/office/spreadsheetml/2009/9/main" objectType="Spin" dx="22" fmlaLink="$AM$33" max="20" page="10" val="10"/>
</file>

<file path=xl/ctrlProps/ctrlProp4.xml><?xml version="1.0" encoding="utf-8"?>
<formControlPr xmlns="http://schemas.microsoft.com/office/spreadsheetml/2009/9/main" objectType="Spin" dx="22" fmlaLink="$AM$33" max="20" page="10" val="10"/>
</file>

<file path=xl/ctrlProps/ctrlProp5.xml><?xml version="1.0" encoding="utf-8"?>
<formControlPr xmlns="http://schemas.microsoft.com/office/spreadsheetml/2009/9/main" objectType="Spin" dx="22" fmlaLink="$AM$243" max="20" page="10" val="10"/>
</file>

<file path=xl/ctrlProps/ctrlProp6.xml><?xml version="1.0" encoding="utf-8"?>
<formControlPr xmlns="http://schemas.microsoft.com/office/spreadsheetml/2009/9/main" objectType="Spin" dx="22" fmlaLink="$AM$266" max="20" page="10" val="1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127000</xdr:colOff>
      <xdr:row>176</xdr:row>
      <xdr:rowOff>127001</xdr:rowOff>
    </xdr:from>
    <xdr:to>
      <xdr:col>8</xdr:col>
      <xdr:colOff>584200</xdr:colOff>
      <xdr:row>195</xdr:row>
      <xdr:rowOff>127001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42</xdr:row>
      <xdr:rowOff>127001</xdr:rowOff>
    </xdr:from>
    <xdr:to>
      <xdr:col>8</xdr:col>
      <xdr:colOff>584200</xdr:colOff>
      <xdr:row>61</xdr:row>
      <xdr:rowOff>127001</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199</xdr:row>
      <xdr:rowOff>127001</xdr:rowOff>
    </xdr:from>
    <xdr:to>
      <xdr:col>8</xdr:col>
      <xdr:colOff>584200</xdr:colOff>
      <xdr:row>218</xdr:row>
      <xdr:rowOff>127001</xdr:rowOff>
    </xdr:to>
    <xdr:graphicFrame macro="">
      <xdr:nvGraphicFramePr>
        <xdr:cNvPr id="4" name="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221</xdr:row>
      <xdr:rowOff>127000</xdr:rowOff>
    </xdr:from>
    <xdr:to>
      <xdr:col>8</xdr:col>
      <xdr:colOff>584200</xdr:colOff>
      <xdr:row>240</xdr:row>
      <xdr:rowOff>127000</xdr:rowOff>
    </xdr:to>
    <xdr:pic>
      <xdr:nvPicPr>
        <xdr:cNvPr id="2071" name="Picture 23">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000" y="31759525"/>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127000</xdr:colOff>
      <xdr:row>244</xdr:row>
      <xdr:rowOff>47626</xdr:rowOff>
    </xdr:from>
    <xdr:to>
      <xdr:col>8</xdr:col>
      <xdr:colOff>584200</xdr:colOff>
      <xdr:row>263</xdr:row>
      <xdr:rowOff>47626</xdr:rowOff>
    </xdr:to>
    <xdr:graphicFrame macro="">
      <xdr:nvGraphicFramePr>
        <xdr:cNvPr id="6" name="Chart 1">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267</xdr:row>
      <xdr:rowOff>47626</xdr:rowOff>
    </xdr:from>
    <xdr:to>
      <xdr:col>8</xdr:col>
      <xdr:colOff>584200</xdr:colOff>
      <xdr:row>286</xdr:row>
      <xdr:rowOff>47626</xdr:rowOff>
    </xdr:to>
    <xdr:graphicFrame macro="">
      <xdr:nvGraphicFramePr>
        <xdr:cNvPr id="7" name="Chart 1">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xdr:from>
          <xdr:col>9</xdr:col>
          <xdr:colOff>0</xdr:colOff>
          <xdr:row>9</xdr:row>
          <xdr:rowOff>0</xdr:rowOff>
        </xdr:from>
        <xdr:to>
          <xdr:col>10</xdr:col>
          <xdr:colOff>0</xdr:colOff>
          <xdr:row>11</xdr:row>
          <xdr:rowOff>85725</xdr:rowOff>
        </xdr:to>
        <xdr:sp macro="" textlink="">
          <xdr:nvSpPr>
            <xdr:cNvPr id="2072" name="Spinner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66</xdr:row>
          <xdr:rowOff>0</xdr:rowOff>
        </xdr:from>
        <xdr:to>
          <xdr:col>10</xdr:col>
          <xdr:colOff>66675</xdr:colOff>
          <xdr:row>68</xdr:row>
          <xdr:rowOff>95250</xdr:rowOff>
        </xdr:to>
        <xdr:sp macro="" textlink="">
          <xdr:nvSpPr>
            <xdr:cNvPr id="2073" name="Spinner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34</xdr:row>
          <xdr:rowOff>0</xdr:rowOff>
        </xdr:from>
        <xdr:to>
          <xdr:col>10</xdr:col>
          <xdr:colOff>66675</xdr:colOff>
          <xdr:row>36</xdr:row>
          <xdr:rowOff>95250</xdr:rowOff>
        </xdr:to>
        <xdr:sp macro="" textlink="">
          <xdr:nvSpPr>
            <xdr:cNvPr id="2074" name="Spinner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52</xdr:row>
          <xdr:rowOff>0</xdr:rowOff>
        </xdr:from>
        <xdr:to>
          <xdr:col>10</xdr:col>
          <xdr:colOff>66675</xdr:colOff>
          <xdr:row>54</xdr:row>
          <xdr:rowOff>95250</xdr:rowOff>
        </xdr:to>
        <xdr:sp macro="" textlink="">
          <xdr:nvSpPr>
            <xdr:cNvPr id="2075" name="Spinner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253</xdr:row>
          <xdr:rowOff>0</xdr:rowOff>
        </xdr:from>
        <xdr:to>
          <xdr:col>10</xdr:col>
          <xdr:colOff>0</xdr:colOff>
          <xdr:row>255</xdr:row>
          <xdr:rowOff>95250</xdr:rowOff>
        </xdr:to>
        <xdr:sp macro="" textlink="">
          <xdr:nvSpPr>
            <xdr:cNvPr id="2076" name="Spinner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276</xdr:row>
          <xdr:rowOff>0</xdr:rowOff>
        </xdr:from>
        <xdr:to>
          <xdr:col>10</xdr:col>
          <xdr:colOff>0</xdr:colOff>
          <xdr:row>278</xdr:row>
          <xdr:rowOff>95250</xdr:rowOff>
        </xdr:to>
        <xdr:sp macro="" textlink="">
          <xdr:nvSpPr>
            <xdr:cNvPr id="2077" name="Spinner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10</xdr:col>
      <xdr:colOff>314322</xdr:colOff>
      <xdr:row>1</xdr:row>
      <xdr:rowOff>123822</xdr:rowOff>
    </xdr:from>
    <xdr:to>
      <xdr:col>18</xdr:col>
      <xdr:colOff>285750</xdr:colOff>
      <xdr:row>34</xdr:row>
      <xdr:rowOff>9524</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53272" y="266697"/>
          <a:ext cx="4848228" cy="362902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model worksheet illustrates the output generated by RegressItLogistic, a free Excel addin that is available at https://regressit.com. </a:t>
          </a:r>
        </a:p>
        <a:p>
          <a:endParaRPr lang="en-US" sz="1100" baseline="0"/>
        </a:p>
        <a:p>
          <a:r>
            <a:rPr lang="en-US" sz="1100" baseline="0"/>
            <a:t>This example is discussed in the following set of notes on the RegressIt web site:</a:t>
          </a:r>
        </a:p>
        <a:p>
          <a:endParaRPr lang="en-US" sz="1100" baseline="0"/>
        </a:p>
        <a:p>
          <a:r>
            <a:rPr lang="en-US" sz="1100"/>
            <a:t>https://regressit.com/RegressItLogisticNotes.pdf</a:t>
          </a:r>
        </a:p>
        <a:p>
          <a:endParaRPr lang="en-US" sz="1100"/>
        </a:p>
        <a:p>
          <a:r>
            <a:rPr lang="en-US" sz="1100"/>
            <a:t>Visit the web</a:t>
          </a:r>
          <a:r>
            <a:rPr lang="en-US" sz="1100" baseline="0"/>
            <a:t> site </a:t>
          </a:r>
          <a:r>
            <a:rPr lang="en-US" sz="1100"/>
            <a:t>for the software, documentation,</a:t>
          </a:r>
          <a:r>
            <a:rPr lang="en-US" sz="1100" baseline="0"/>
            <a:t> sample data, and more teaching materials.</a:t>
          </a:r>
        </a:p>
        <a:p>
          <a:endParaRPr lang="en-US" sz="1100" baseline="0"/>
        </a:p>
        <a:p>
          <a:r>
            <a:rPr lang="en-US" sz="1100" baseline="0"/>
            <a:t>For demonstration and sensitivity-analysis purposes, the confidence level in the coefficient table and the cutoff values in the classification table are interactive and can be adjusted by clicking the up and down arrows next to them.   The red square on the ROC curve also moves with the cutoff value for that chart.  This logic for this feature is built into the worksheet, using data stored off to the right, and it can be used regardless of whether the program is running.</a:t>
          </a:r>
        </a:p>
        <a:p>
          <a:endParaRPr lang="en-US" sz="1100" baseline="0"/>
        </a:p>
        <a:p>
          <a:r>
            <a:rPr lang="en-US" sz="1100" baseline="0"/>
            <a:t>Scroll down to the bottom of the sheet to see all the optional table and chart output.  It includes 6 charts and a table of actual and predicted values, residuals, and leverages.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2</xdr:row>
      <xdr:rowOff>9524</xdr:rowOff>
    </xdr:from>
    <xdr:to>
      <xdr:col>9</xdr:col>
      <xdr:colOff>600075</xdr:colOff>
      <xdr:row>19</xdr:row>
      <xdr:rowOff>104775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324350" y="295274"/>
          <a:ext cx="3829050" cy="25241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more than one model of</a:t>
          </a:r>
          <a:r>
            <a:rPr lang="en-US" sz="1100" baseline="0"/>
            <a:t> the same type (linear or logistic) is fitted to the same dependent variable, the statistics of those models are shown in adjacent columns for side-by-side model comparisons, as in a model summaries table in a journal article.</a:t>
          </a:r>
        </a:p>
        <a:p>
          <a:endParaRPr lang="en-US" sz="1100" baseline="0"/>
        </a:p>
        <a:p>
          <a:r>
            <a:rPr lang="en-US" sz="1100" baseline="0"/>
            <a:t>This worksheet provides an audit trail for all models that have ever been fitted in the same file.  The statistics of all the models remain here even if the individual model worksheets are later deleted.  The cell above the model name (B2 here) contains the model specifications, and the same model can be relaunched by clicking on that cell and hitting the Linear Regression or Logistic Regression button on the toolbar.  A Descriptive Statistics analysis of the same variables can also be launched in this way.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1"/>
  <sheetViews>
    <sheetView workbookViewId="0"/>
  </sheetViews>
  <sheetFormatPr defaultRowHeight="15" x14ac:dyDescent="0.25"/>
  <sheetData>
    <row r="1" spans="1:6" x14ac:dyDescent="0.25">
      <c r="A1" s="1" t="s">
        <v>0</v>
      </c>
      <c r="B1" s="1" t="s">
        <v>1</v>
      </c>
      <c r="C1" s="1" t="s">
        <v>2</v>
      </c>
      <c r="D1" s="1" t="s">
        <v>3</v>
      </c>
      <c r="E1" s="1" t="s">
        <v>4</v>
      </c>
      <c r="F1" s="1" t="s">
        <v>5</v>
      </c>
    </row>
    <row r="2" spans="1:6" x14ac:dyDescent="0.25">
      <c r="A2" s="1">
        <v>1</v>
      </c>
      <c r="B2" s="1">
        <v>1</v>
      </c>
      <c r="C2" s="1"/>
      <c r="D2" s="1">
        <v>24.1</v>
      </c>
      <c r="E2" s="1">
        <v>5</v>
      </c>
      <c r="F2" s="1">
        <v>1</v>
      </c>
    </row>
    <row r="3" spans="1:6" x14ac:dyDescent="0.25">
      <c r="A3" s="1">
        <v>0</v>
      </c>
      <c r="B3" s="1">
        <v>0</v>
      </c>
      <c r="C3" s="1"/>
      <c r="D3" s="1">
        <v>11.2</v>
      </c>
      <c r="E3" s="1">
        <v>7</v>
      </c>
      <c r="F3" s="1">
        <v>0</v>
      </c>
    </row>
    <row r="4" spans="1:6" x14ac:dyDescent="0.25">
      <c r="A4" s="1">
        <v>1</v>
      </c>
      <c r="B4" s="1">
        <v>1</v>
      </c>
      <c r="C4" s="1"/>
      <c r="D4" s="1">
        <v>21.1</v>
      </c>
      <c r="E4" s="1">
        <v>9</v>
      </c>
      <c r="F4" s="1">
        <v>1</v>
      </c>
    </row>
    <row r="5" spans="1:6" x14ac:dyDescent="0.25">
      <c r="A5" s="1">
        <v>1</v>
      </c>
      <c r="B5" s="1">
        <v>1</v>
      </c>
      <c r="C5" s="1"/>
      <c r="D5" s="1">
        <v>26.5</v>
      </c>
      <c r="E5" s="1">
        <v>8</v>
      </c>
      <c r="F5" s="1">
        <v>1</v>
      </c>
    </row>
    <row r="6" spans="1:6" x14ac:dyDescent="0.25">
      <c r="A6" s="1">
        <v>0</v>
      </c>
      <c r="B6" s="1">
        <v>0</v>
      </c>
      <c r="C6" s="1"/>
      <c r="D6" s="1">
        <v>5.9</v>
      </c>
      <c r="E6" s="1">
        <v>12</v>
      </c>
      <c r="F6" s="1">
        <v>0</v>
      </c>
    </row>
    <row r="7" spans="1:6" x14ac:dyDescent="0.25">
      <c r="A7" s="1">
        <v>1</v>
      </c>
      <c r="B7" s="1">
        <v>1</v>
      </c>
      <c r="C7" s="1"/>
      <c r="D7" s="1">
        <v>26.2</v>
      </c>
      <c r="E7" s="1">
        <v>7</v>
      </c>
      <c r="F7" s="1">
        <v>1</v>
      </c>
    </row>
    <row r="8" spans="1:6" x14ac:dyDescent="0.25">
      <c r="A8" s="1">
        <v>1</v>
      </c>
      <c r="B8" s="1">
        <v>1</v>
      </c>
      <c r="C8" s="1"/>
      <c r="D8" s="1">
        <v>17.3</v>
      </c>
      <c r="E8" s="1">
        <v>12</v>
      </c>
      <c r="F8" s="1">
        <v>1</v>
      </c>
    </row>
    <row r="9" spans="1:6" x14ac:dyDescent="0.25">
      <c r="A9" s="1">
        <v>0</v>
      </c>
      <c r="B9" s="1">
        <v>0</v>
      </c>
      <c r="C9" s="1"/>
      <c r="D9" s="1">
        <v>10.4</v>
      </c>
      <c r="E9" s="1">
        <v>11</v>
      </c>
      <c r="F9" s="1">
        <v>1</v>
      </c>
    </row>
    <row r="10" spans="1:6" x14ac:dyDescent="0.25">
      <c r="A10" s="1">
        <v>1</v>
      </c>
      <c r="B10" s="1">
        <v>1</v>
      </c>
      <c r="C10" s="1"/>
      <c r="D10" s="1">
        <v>18.5</v>
      </c>
      <c r="E10" s="1">
        <v>6</v>
      </c>
      <c r="F10" s="1">
        <v>1</v>
      </c>
    </row>
    <row r="11" spans="1:6" x14ac:dyDescent="0.25">
      <c r="A11" s="1">
        <v>1</v>
      </c>
      <c r="B11" s="1">
        <v>1</v>
      </c>
      <c r="C11" s="1"/>
      <c r="D11" s="1">
        <v>14.7</v>
      </c>
      <c r="E11" s="1">
        <v>8</v>
      </c>
      <c r="F11" s="1">
        <v>0</v>
      </c>
    </row>
    <row r="12" spans="1:6" x14ac:dyDescent="0.25">
      <c r="A12" s="1">
        <v>1</v>
      </c>
      <c r="B12" s="1">
        <v>1</v>
      </c>
      <c r="C12" s="1"/>
      <c r="D12" s="1">
        <v>30</v>
      </c>
      <c r="E12" s="1">
        <v>11</v>
      </c>
      <c r="F12" s="1">
        <v>1</v>
      </c>
    </row>
    <row r="13" spans="1:6" x14ac:dyDescent="0.25">
      <c r="A13" s="1">
        <v>0</v>
      </c>
      <c r="B13" s="1">
        <v>0</v>
      </c>
      <c r="C13" s="1"/>
      <c r="D13" s="1">
        <v>9.1999999999999993</v>
      </c>
      <c r="E13" s="1">
        <v>5</v>
      </c>
      <c r="F13" s="1">
        <v>0</v>
      </c>
    </row>
    <row r="14" spans="1:6" x14ac:dyDescent="0.25">
      <c r="A14" s="1">
        <v>0</v>
      </c>
      <c r="B14" s="1">
        <v>0</v>
      </c>
      <c r="C14" s="1"/>
      <c r="D14" s="1">
        <v>8.1</v>
      </c>
      <c r="E14" s="1">
        <v>8</v>
      </c>
      <c r="F14" s="1">
        <v>1</v>
      </c>
    </row>
    <row r="15" spans="1:6" x14ac:dyDescent="0.25">
      <c r="A15" s="1">
        <v>0</v>
      </c>
      <c r="B15" s="1">
        <v>0</v>
      </c>
      <c r="C15" s="1"/>
      <c r="D15" s="1">
        <v>15.6</v>
      </c>
      <c r="E15" s="1">
        <v>10</v>
      </c>
      <c r="F15" s="1">
        <v>0</v>
      </c>
    </row>
    <row r="16" spans="1:6" x14ac:dyDescent="0.25">
      <c r="A16" s="1">
        <v>1</v>
      </c>
      <c r="B16" s="1">
        <v>1</v>
      </c>
      <c r="C16" s="1"/>
      <c r="D16" s="1">
        <v>11.9</v>
      </c>
      <c r="E16" s="1">
        <v>6</v>
      </c>
      <c r="F16" s="1">
        <v>0</v>
      </c>
    </row>
    <row r="17" spans="1:6" x14ac:dyDescent="0.25">
      <c r="A17" s="1">
        <v>1</v>
      </c>
      <c r="B17" s="1">
        <v>1</v>
      </c>
      <c r="C17" s="1"/>
      <c r="D17" s="1">
        <v>21.7</v>
      </c>
      <c r="E17" s="1">
        <v>12</v>
      </c>
      <c r="F17" s="1">
        <v>1</v>
      </c>
    </row>
    <row r="18" spans="1:6" x14ac:dyDescent="0.25">
      <c r="A18" s="1">
        <v>1</v>
      </c>
      <c r="B18" s="1">
        <v>1</v>
      </c>
      <c r="C18" s="1"/>
      <c r="D18" s="1">
        <v>29.5</v>
      </c>
      <c r="E18" s="1">
        <v>5</v>
      </c>
      <c r="F18" s="1">
        <v>1</v>
      </c>
    </row>
    <row r="19" spans="1:6" x14ac:dyDescent="0.25">
      <c r="A19" s="1">
        <v>0</v>
      </c>
      <c r="B19" s="1">
        <v>0</v>
      </c>
      <c r="C19" s="1"/>
      <c r="D19" s="1">
        <v>20.3</v>
      </c>
      <c r="E19" s="1">
        <v>9</v>
      </c>
      <c r="F19" s="1">
        <v>0</v>
      </c>
    </row>
    <row r="20" spans="1:6" x14ac:dyDescent="0.25">
      <c r="A20" s="1">
        <v>0</v>
      </c>
      <c r="B20" s="1">
        <v>0</v>
      </c>
      <c r="C20" s="1"/>
      <c r="D20" s="1">
        <v>9.6</v>
      </c>
      <c r="E20" s="1">
        <v>6</v>
      </c>
      <c r="F20" s="1">
        <v>0</v>
      </c>
    </row>
    <row r="21" spans="1:6" x14ac:dyDescent="0.25">
      <c r="A21" s="1">
        <v>1</v>
      </c>
      <c r="B21" s="1">
        <v>1</v>
      </c>
      <c r="C21" s="1"/>
      <c r="D21" s="1">
        <v>15.1</v>
      </c>
      <c r="E21" s="1">
        <v>5</v>
      </c>
      <c r="F21" s="1">
        <v>0</v>
      </c>
    </row>
    <row r="22" spans="1:6" x14ac:dyDescent="0.25">
      <c r="A22" s="1">
        <v>1</v>
      </c>
      <c r="B22" s="1">
        <v>1</v>
      </c>
      <c r="C22" s="1"/>
      <c r="D22" s="1">
        <v>15.6</v>
      </c>
      <c r="E22" s="1">
        <v>6</v>
      </c>
      <c r="F22" s="1">
        <v>1</v>
      </c>
    </row>
    <row r="23" spans="1:6" x14ac:dyDescent="0.25">
      <c r="A23" s="1">
        <v>1</v>
      </c>
      <c r="B23" s="1">
        <v>1</v>
      </c>
      <c r="C23" s="1"/>
      <c r="D23" s="1">
        <v>23.2</v>
      </c>
      <c r="E23" s="1">
        <v>6</v>
      </c>
      <c r="F23" s="1">
        <v>0</v>
      </c>
    </row>
    <row r="24" spans="1:6" x14ac:dyDescent="0.25">
      <c r="A24" s="1">
        <v>0</v>
      </c>
      <c r="B24" s="1">
        <v>0</v>
      </c>
      <c r="C24" s="1"/>
      <c r="D24" s="1">
        <v>12.7</v>
      </c>
      <c r="E24" s="1">
        <v>12</v>
      </c>
      <c r="F24" s="1">
        <v>1</v>
      </c>
    </row>
    <row r="25" spans="1:6" x14ac:dyDescent="0.25">
      <c r="A25" s="1">
        <v>1</v>
      </c>
      <c r="B25" s="1">
        <v>1</v>
      </c>
      <c r="C25" s="1"/>
      <c r="D25" s="1">
        <v>21</v>
      </c>
      <c r="E25" s="1">
        <v>6</v>
      </c>
      <c r="F25" s="1">
        <v>1</v>
      </c>
    </row>
    <row r="26" spans="1:6" x14ac:dyDescent="0.25">
      <c r="A26" s="1">
        <v>0</v>
      </c>
      <c r="B26" s="1">
        <v>0</v>
      </c>
      <c r="C26" s="1"/>
      <c r="D26" s="1">
        <v>11.5</v>
      </c>
      <c r="E26" s="1">
        <v>12</v>
      </c>
      <c r="F26" s="1">
        <v>0</v>
      </c>
    </row>
    <row r="27" spans="1:6" x14ac:dyDescent="0.25">
      <c r="A27" s="1">
        <v>0</v>
      </c>
      <c r="B27" s="1">
        <v>0</v>
      </c>
      <c r="C27" s="1"/>
      <c r="D27" s="1">
        <v>23.2</v>
      </c>
      <c r="E27" s="1">
        <v>10</v>
      </c>
      <c r="F27" s="1">
        <v>1</v>
      </c>
    </row>
    <row r="28" spans="1:6" x14ac:dyDescent="0.25">
      <c r="A28" s="1">
        <v>1</v>
      </c>
      <c r="B28" s="1">
        <v>1</v>
      </c>
      <c r="C28" s="1"/>
      <c r="D28" s="1">
        <v>19.3</v>
      </c>
      <c r="E28" s="1">
        <v>9</v>
      </c>
      <c r="F28" s="1">
        <v>0</v>
      </c>
    </row>
    <row r="29" spans="1:6" x14ac:dyDescent="0.25">
      <c r="A29" s="1">
        <v>0</v>
      </c>
      <c r="B29" s="1">
        <v>0</v>
      </c>
      <c r="C29" s="1"/>
      <c r="D29" s="1">
        <v>11.1</v>
      </c>
      <c r="E29" s="1">
        <v>8</v>
      </c>
      <c r="F29" s="1">
        <v>1</v>
      </c>
    </row>
    <row r="30" spans="1:6" x14ac:dyDescent="0.25">
      <c r="A30" s="1">
        <v>1</v>
      </c>
      <c r="B30" s="1">
        <v>1</v>
      </c>
      <c r="C30" s="1"/>
      <c r="D30" s="1">
        <v>16.899999999999999</v>
      </c>
      <c r="E30" s="1">
        <v>5</v>
      </c>
      <c r="F30" s="1">
        <v>0</v>
      </c>
    </row>
    <row r="31" spans="1:6" x14ac:dyDescent="0.25">
      <c r="A31" s="1">
        <v>0</v>
      </c>
      <c r="B31" s="1">
        <v>0</v>
      </c>
      <c r="C31" s="1"/>
      <c r="D31" s="1">
        <v>4.2</v>
      </c>
      <c r="E31" s="1">
        <v>8</v>
      </c>
      <c r="F31" s="1">
        <v>0</v>
      </c>
    </row>
    <row r="32" spans="1:6" x14ac:dyDescent="0.25">
      <c r="A32" s="1">
        <v>0</v>
      </c>
      <c r="B32" s="1">
        <v>0</v>
      </c>
      <c r="C32" s="1"/>
      <c r="D32" s="1">
        <v>16.2</v>
      </c>
      <c r="E32" s="1">
        <v>14</v>
      </c>
      <c r="F32" s="1">
        <v>0</v>
      </c>
    </row>
    <row r="33" spans="1:6" x14ac:dyDescent="0.25">
      <c r="A33" s="1">
        <v>1</v>
      </c>
      <c r="B33" s="1">
        <v>1</v>
      </c>
      <c r="C33" s="1"/>
      <c r="D33" s="1">
        <v>26.2</v>
      </c>
      <c r="E33" s="1">
        <v>7</v>
      </c>
      <c r="F33" s="1">
        <v>1</v>
      </c>
    </row>
    <row r="34" spans="1:6" x14ac:dyDescent="0.25">
      <c r="A34" s="1">
        <v>1</v>
      </c>
      <c r="B34" s="1">
        <v>1</v>
      </c>
      <c r="C34" s="1"/>
      <c r="D34" s="1">
        <v>20.9</v>
      </c>
      <c r="E34" s="1">
        <v>5</v>
      </c>
      <c r="F34" s="1">
        <v>0</v>
      </c>
    </row>
    <row r="35" spans="1:6" x14ac:dyDescent="0.25">
      <c r="A35" s="1">
        <v>0</v>
      </c>
      <c r="B35" s="1">
        <v>0</v>
      </c>
      <c r="C35" s="1"/>
      <c r="D35" s="1">
        <v>9.3000000000000007</v>
      </c>
      <c r="E35" s="1">
        <v>10</v>
      </c>
      <c r="F35" s="1">
        <v>1</v>
      </c>
    </row>
    <row r="36" spans="1:6" x14ac:dyDescent="0.25">
      <c r="A36" s="1">
        <v>0</v>
      </c>
      <c r="B36" s="1">
        <v>0</v>
      </c>
      <c r="C36" s="1"/>
      <c r="D36" s="1">
        <v>15.2</v>
      </c>
      <c r="E36" s="1">
        <v>12</v>
      </c>
      <c r="F36" s="1">
        <v>1</v>
      </c>
    </row>
    <row r="37" spans="1:6" x14ac:dyDescent="0.25">
      <c r="A37" s="1">
        <v>1</v>
      </c>
      <c r="B37" s="1">
        <v>1</v>
      </c>
      <c r="C37" s="1"/>
      <c r="D37" s="1">
        <v>22.2</v>
      </c>
      <c r="E37" s="1">
        <v>5</v>
      </c>
      <c r="F37" s="1">
        <v>0</v>
      </c>
    </row>
    <row r="38" spans="1:6" x14ac:dyDescent="0.25">
      <c r="A38" s="1">
        <v>0</v>
      </c>
      <c r="B38" s="1">
        <v>0</v>
      </c>
      <c r="C38" s="1"/>
      <c r="D38" s="1">
        <v>9</v>
      </c>
      <c r="E38" s="1">
        <v>14</v>
      </c>
      <c r="F38" s="1">
        <v>0</v>
      </c>
    </row>
    <row r="39" spans="1:6" x14ac:dyDescent="0.25">
      <c r="A39" s="1">
        <v>0</v>
      </c>
      <c r="B39" s="1">
        <v>0</v>
      </c>
      <c r="C39" s="1"/>
      <c r="D39" s="1">
        <v>10.9</v>
      </c>
      <c r="E39" s="1">
        <v>9</v>
      </c>
      <c r="F39" s="1">
        <v>1</v>
      </c>
    </row>
    <row r="40" spans="1:6" x14ac:dyDescent="0.25">
      <c r="A40" s="1">
        <v>0</v>
      </c>
      <c r="B40" s="1">
        <v>0</v>
      </c>
      <c r="C40" s="1"/>
      <c r="D40" s="1">
        <v>4.8</v>
      </c>
      <c r="E40" s="1">
        <v>11</v>
      </c>
      <c r="F40" s="1">
        <v>0</v>
      </c>
    </row>
    <row r="41" spans="1:6" x14ac:dyDescent="0.25">
      <c r="A41" s="1">
        <v>0</v>
      </c>
      <c r="B41" s="1">
        <v>0</v>
      </c>
      <c r="C41" s="1"/>
      <c r="D41" s="1">
        <v>18.7</v>
      </c>
      <c r="E41" s="1">
        <v>13</v>
      </c>
      <c r="F41" s="1">
        <v>0</v>
      </c>
    </row>
    <row r="42" spans="1:6" x14ac:dyDescent="0.25">
      <c r="A42" s="1">
        <v>0</v>
      </c>
      <c r="B42" s="1">
        <v>0</v>
      </c>
      <c r="C42" s="1"/>
      <c r="D42" s="1">
        <v>13.2</v>
      </c>
      <c r="E42" s="1">
        <v>8</v>
      </c>
      <c r="F42" s="1">
        <v>1</v>
      </c>
    </row>
    <row r="43" spans="1:6" x14ac:dyDescent="0.25">
      <c r="A43" s="1">
        <v>0</v>
      </c>
      <c r="B43" s="1">
        <v>0</v>
      </c>
      <c r="C43" s="1"/>
      <c r="D43" s="1">
        <v>9.1</v>
      </c>
      <c r="E43" s="1">
        <v>8</v>
      </c>
      <c r="F43" s="1">
        <v>0</v>
      </c>
    </row>
    <row r="44" spans="1:6" x14ac:dyDescent="0.25">
      <c r="A44" s="1">
        <v>0</v>
      </c>
      <c r="B44" s="1">
        <v>0</v>
      </c>
      <c r="C44" s="1"/>
      <c r="D44" s="1">
        <v>9.9</v>
      </c>
      <c r="E44" s="1">
        <v>11</v>
      </c>
      <c r="F44" s="1">
        <v>1</v>
      </c>
    </row>
    <row r="45" spans="1:6" x14ac:dyDescent="0.25">
      <c r="A45" s="1">
        <v>0</v>
      </c>
      <c r="B45" s="1">
        <v>0</v>
      </c>
      <c r="C45" s="1"/>
      <c r="D45" s="1">
        <v>7</v>
      </c>
      <c r="E45" s="1">
        <v>11</v>
      </c>
      <c r="F45" s="1">
        <v>0</v>
      </c>
    </row>
    <row r="46" spans="1:6" x14ac:dyDescent="0.25">
      <c r="A46" s="1">
        <v>0</v>
      </c>
      <c r="B46" s="1">
        <v>0</v>
      </c>
      <c r="C46" s="1"/>
      <c r="D46" s="1">
        <v>10.8</v>
      </c>
      <c r="E46" s="1">
        <v>10</v>
      </c>
      <c r="F46" s="1">
        <v>0</v>
      </c>
    </row>
    <row r="47" spans="1:6" x14ac:dyDescent="0.25">
      <c r="A47" s="1">
        <v>0</v>
      </c>
      <c r="B47" s="1">
        <v>0</v>
      </c>
      <c r="C47" s="1"/>
      <c r="D47" s="1">
        <v>13.6</v>
      </c>
      <c r="E47" s="1">
        <v>9</v>
      </c>
      <c r="F47" s="1">
        <v>1</v>
      </c>
    </row>
    <row r="48" spans="1:6" x14ac:dyDescent="0.25">
      <c r="A48" s="1">
        <v>1</v>
      </c>
      <c r="B48" s="1">
        <v>1</v>
      </c>
      <c r="C48" s="1"/>
      <c r="D48" s="1">
        <v>21.3</v>
      </c>
      <c r="E48" s="1">
        <v>9</v>
      </c>
      <c r="F48" s="1">
        <v>0</v>
      </c>
    </row>
    <row r="49" spans="1:6" x14ac:dyDescent="0.25">
      <c r="A49" s="1">
        <v>0</v>
      </c>
      <c r="B49" s="1">
        <v>0</v>
      </c>
      <c r="C49" s="1"/>
      <c r="D49" s="1">
        <v>5.0999999999999996</v>
      </c>
      <c r="E49" s="1">
        <v>6</v>
      </c>
      <c r="F49" s="1">
        <v>0</v>
      </c>
    </row>
    <row r="50" spans="1:6" x14ac:dyDescent="0.25">
      <c r="A50" s="1">
        <v>0</v>
      </c>
      <c r="B50" s="1">
        <v>0</v>
      </c>
      <c r="C50" s="1"/>
      <c r="D50" s="1">
        <v>18.5</v>
      </c>
      <c r="E50" s="1">
        <v>12</v>
      </c>
      <c r="F50" s="1">
        <v>1</v>
      </c>
    </row>
    <row r="51" spans="1:6" x14ac:dyDescent="0.25">
      <c r="A51" s="1">
        <v>0</v>
      </c>
      <c r="B51" s="1">
        <v>0</v>
      </c>
      <c r="C51" s="1"/>
      <c r="D51" s="1">
        <v>3.9</v>
      </c>
      <c r="E51" s="1">
        <v>14</v>
      </c>
      <c r="F51" s="1">
        <v>0</v>
      </c>
    </row>
    <row r="52" spans="1:6" x14ac:dyDescent="0.25">
      <c r="A52" s="1">
        <v>0</v>
      </c>
      <c r="B52" s="1">
        <v>0</v>
      </c>
      <c r="C52" s="1"/>
      <c r="D52" s="1">
        <v>4.2</v>
      </c>
      <c r="E52" s="1">
        <v>13</v>
      </c>
      <c r="F52" s="1">
        <v>1</v>
      </c>
    </row>
    <row r="53" spans="1:6" x14ac:dyDescent="0.25">
      <c r="A53" s="1">
        <v>1</v>
      </c>
      <c r="B53" s="1">
        <v>1</v>
      </c>
      <c r="C53" s="1"/>
      <c r="D53" s="1">
        <v>22.1</v>
      </c>
      <c r="E53" s="1">
        <v>12</v>
      </c>
      <c r="F53" s="1">
        <v>1</v>
      </c>
    </row>
    <row r="54" spans="1:6" x14ac:dyDescent="0.25">
      <c r="A54" s="1">
        <v>0</v>
      </c>
      <c r="B54" s="1">
        <v>0</v>
      </c>
      <c r="C54" s="1"/>
      <c r="D54" s="1">
        <v>8.6999999999999993</v>
      </c>
      <c r="E54" s="1">
        <v>12</v>
      </c>
      <c r="F54" s="1">
        <v>1</v>
      </c>
    </row>
    <row r="55" spans="1:6" x14ac:dyDescent="0.25">
      <c r="A55" s="1">
        <v>1</v>
      </c>
      <c r="B55" s="1">
        <v>1</v>
      </c>
      <c r="C55" s="1"/>
      <c r="D55" s="1">
        <v>20.7</v>
      </c>
      <c r="E55" s="1">
        <v>5</v>
      </c>
      <c r="F55" s="1">
        <v>1</v>
      </c>
    </row>
    <row r="56" spans="1:6" x14ac:dyDescent="0.25">
      <c r="A56" s="1">
        <v>0</v>
      </c>
      <c r="B56" s="1">
        <v>0</v>
      </c>
      <c r="C56" s="1"/>
      <c r="D56" s="1">
        <v>17.2</v>
      </c>
      <c r="E56" s="1">
        <v>8</v>
      </c>
      <c r="F56" s="1">
        <v>1</v>
      </c>
    </row>
    <row r="57" spans="1:6" x14ac:dyDescent="0.25">
      <c r="A57" s="1">
        <v>1</v>
      </c>
      <c r="B57" s="1">
        <v>1</v>
      </c>
      <c r="C57" s="1"/>
      <c r="D57" s="1">
        <v>21.6</v>
      </c>
      <c r="E57" s="1">
        <v>5</v>
      </c>
      <c r="F57" s="1">
        <v>0</v>
      </c>
    </row>
    <row r="58" spans="1:6" x14ac:dyDescent="0.25">
      <c r="A58" s="1">
        <v>1</v>
      </c>
      <c r="B58" s="1">
        <v>1</v>
      </c>
      <c r="C58" s="1"/>
      <c r="D58" s="1">
        <v>26.2</v>
      </c>
      <c r="E58" s="1">
        <v>10</v>
      </c>
      <c r="F58" s="1">
        <v>1</v>
      </c>
    </row>
    <row r="59" spans="1:6" x14ac:dyDescent="0.25">
      <c r="A59" s="1">
        <v>0</v>
      </c>
      <c r="B59" s="1">
        <v>0</v>
      </c>
      <c r="C59" s="1"/>
      <c r="D59" s="1">
        <v>13.3</v>
      </c>
      <c r="E59" s="1">
        <v>10</v>
      </c>
      <c r="F59" s="1">
        <v>1</v>
      </c>
    </row>
    <row r="60" spans="1:6" x14ac:dyDescent="0.25">
      <c r="A60" s="1">
        <v>1</v>
      </c>
      <c r="B60" s="1">
        <v>1</v>
      </c>
      <c r="C60" s="1"/>
      <c r="D60" s="1">
        <v>19</v>
      </c>
      <c r="E60" s="1">
        <v>14</v>
      </c>
      <c r="F60" s="1">
        <v>0</v>
      </c>
    </row>
    <row r="61" spans="1:6" x14ac:dyDescent="0.25">
      <c r="A61" s="1">
        <v>0</v>
      </c>
      <c r="B61" s="1">
        <v>0</v>
      </c>
      <c r="C61" s="1"/>
      <c r="D61" s="1">
        <v>14.3</v>
      </c>
      <c r="E61" s="1">
        <v>12</v>
      </c>
      <c r="F61" s="1">
        <v>0</v>
      </c>
    </row>
    <row r="62" spans="1:6" x14ac:dyDescent="0.25">
      <c r="A62" s="1">
        <v>0</v>
      </c>
      <c r="B62" s="1">
        <v>0</v>
      </c>
      <c r="C62" s="1"/>
      <c r="D62" s="1">
        <v>15.5</v>
      </c>
      <c r="E62" s="1">
        <v>11</v>
      </c>
      <c r="F62" s="1">
        <v>0</v>
      </c>
    </row>
    <row r="63" spans="1:6" x14ac:dyDescent="0.25">
      <c r="A63" s="1">
        <v>1</v>
      </c>
      <c r="B63" s="1">
        <v>1</v>
      </c>
      <c r="C63" s="1"/>
      <c r="D63" s="1">
        <v>18.899999999999999</v>
      </c>
      <c r="E63" s="1">
        <v>6</v>
      </c>
      <c r="F63" s="1">
        <v>1</v>
      </c>
    </row>
    <row r="64" spans="1:6" x14ac:dyDescent="0.25">
      <c r="A64" s="1">
        <v>0</v>
      </c>
      <c r="B64" s="1">
        <v>0</v>
      </c>
      <c r="C64" s="1"/>
      <c r="D64" s="1">
        <v>18.5</v>
      </c>
      <c r="E64" s="1">
        <v>12</v>
      </c>
      <c r="F64" s="1">
        <v>1</v>
      </c>
    </row>
    <row r="65" spans="1:6" x14ac:dyDescent="0.25">
      <c r="A65" s="1">
        <v>1</v>
      </c>
      <c r="B65" s="1">
        <v>1</v>
      </c>
      <c r="C65" s="1"/>
      <c r="D65" s="1">
        <v>13.8</v>
      </c>
      <c r="E65" s="1">
        <v>9</v>
      </c>
      <c r="F65" s="1">
        <v>1</v>
      </c>
    </row>
    <row r="66" spans="1:6" x14ac:dyDescent="0.25">
      <c r="A66" s="1">
        <v>1</v>
      </c>
      <c r="B66" s="1">
        <v>1</v>
      </c>
      <c r="C66" s="1"/>
      <c r="D66" s="1">
        <v>29</v>
      </c>
      <c r="E66" s="1">
        <v>11</v>
      </c>
      <c r="F66" s="1">
        <v>0</v>
      </c>
    </row>
    <row r="67" spans="1:6" x14ac:dyDescent="0.25">
      <c r="A67" s="1">
        <v>0</v>
      </c>
      <c r="B67" s="1">
        <v>0</v>
      </c>
      <c r="C67" s="1"/>
      <c r="D67" s="1">
        <v>12.7</v>
      </c>
      <c r="E67" s="1">
        <v>11</v>
      </c>
      <c r="F67" s="1">
        <v>1</v>
      </c>
    </row>
    <row r="68" spans="1:6" x14ac:dyDescent="0.25">
      <c r="A68" s="1">
        <v>1</v>
      </c>
      <c r="B68" s="1">
        <v>1</v>
      </c>
      <c r="C68" s="1"/>
      <c r="D68" s="1">
        <v>16.100000000000001</v>
      </c>
      <c r="E68" s="1">
        <v>8</v>
      </c>
      <c r="F68" s="1">
        <v>1</v>
      </c>
    </row>
    <row r="69" spans="1:6" x14ac:dyDescent="0.25">
      <c r="A69" s="1">
        <v>1</v>
      </c>
      <c r="B69" s="1">
        <v>1</v>
      </c>
      <c r="C69" s="1"/>
      <c r="D69" s="1">
        <v>18</v>
      </c>
      <c r="E69" s="1">
        <v>10</v>
      </c>
      <c r="F69" s="1">
        <v>0</v>
      </c>
    </row>
    <row r="70" spans="1:6" x14ac:dyDescent="0.25">
      <c r="A70" s="1">
        <v>1</v>
      </c>
      <c r="B70" s="1">
        <v>1</v>
      </c>
      <c r="C70" s="1"/>
      <c r="D70" s="1">
        <v>20.8</v>
      </c>
      <c r="E70" s="1">
        <v>13</v>
      </c>
      <c r="F70" s="1">
        <v>0</v>
      </c>
    </row>
    <row r="71" spans="1:6" x14ac:dyDescent="0.25">
      <c r="A71" s="1">
        <v>0</v>
      </c>
      <c r="B71" s="1">
        <v>0</v>
      </c>
      <c r="C71" s="1"/>
      <c r="D71" s="1">
        <v>12.4</v>
      </c>
      <c r="E71" s="1">
        <v>14</v>
      </c>
      <c r="F71" s="1">
        <v>1</v>
      </c>
    </row>
    <row r="72" spans="1:6" x14ac:dyDescent="0.25">
      <c r="A72" s="1">
        <v>1</v>
      </c>
      <c r="B72" s="1">
        <v>1</v>
      </c>
      <c r="C72" s="1"/>
      <c r="D72" s="1">
        <v>27</v>
      </c>
      <c r="E72" s="1">
        <v>9</v>
      </c>
      <c r="F72" s="1">
        <v>1</v>
      </c>
    </row>
    <row r="73" spans="1:6" x14ac:dyDescent="0.25">
      <c r="A73" s="1">
        <v>1</v>
      </c>
      <c r="B73" s="1">
        <v>1</v>
      </c>
      <c r="C73" s="1"/>
      <c r="D73" s="1">
        <v>10.4</v>
      </c>
      <c r="E73" s="1">
        <v>5</v>
      </c>
      <c r="F73" s="1">
        <v>1</v>
      </c>
    </row>
    <row r="74" spans="1:6" x14ac:dyDescent="0.25">
      <c r="A74" s="1">
        <v>1</v>
      </c>
      <c r="B74" s="1">
        <v>1</v>
      </c>
      <c r="C74" s="1"/>
      <c r="D74" s="1">
        <v>25</v>
      </c>
      <c r="E74" s="1">
        <v>10</v>
      </c>
      <c r="F74" s="1">
        <v>1</v>
      </c>
    </row>
    <row r="75" spans="1:6" x14ac:dyDescent="0.25">
      <c r="A75" s="1">
        <v>1</v>
      </c>
      <c r="B75" s="1">
        <v>1</v>
      </c>
      <c r="C75" s="1"/>
      <c r="D75" s="1">
        <v>15.1</v>
      </c>
      <c r="E75" s="1">
        <v>5</v>
      </c>
      <c r="F75" s="1">
        <v>1</v>
      </c>
    </row>
    <row r="76" spans="1:6" x14ac:dyDescent="0.25">
      <c r="A76" s="1">
        <v>1</v>
      </c>
      <c r="B76" s="1">
        <v>1</v>
      </c>
      <c r="C76" s="1"/>
      <c r="D76" s="1">
        <v>19.5</v>
      </c>
      <c r="E76" s="1">
        <v>11</v>
      </c>
      <c r="F76" s="1">
        <v>0</v>
      </c>
    </row>
    <row r="77" spans="1:6" x14ac:dyDescent="0.25">
      <c r="A77" s="1">
        <v>1</v>
      </c>
      <c r="B77" s="1">
        <v>1</v>
      </c>
      <c r="C77" s="1"/>
      <c r="D77" s="1">
        <v>16.3</v>
      </c>
      <c r="E77" s="1">
        <v>11</v>
      </c>
      <c r="F77" s="1">
        <v>1</v>
      </c>
    </row>
    <row r="78" spans="1:6" x14ac:dyDescent="0.25">
      <c r="A78" s="1">
        <v>1</v>
      </c>
      <c r="B78" s="1">
        <v>1</v>
      </c>
      <c r="C78" s="1"/>
      <c r="D78" s="1">
        <v>12.2</v>
      </c>
      <c r="E78" s="1">
        <v>10</v>
      </c>
      <c r="F78" s="1">
        <v>0</v>
      </c>
    </row>
    <row r="79" spans="1:6" x14ac:dyDescent="0.25">
      <c r="A79" s="1">
        <v>0</v>
      </c>
      <c r="B79" s="1">
        <v>0</v>
      </c>
      <c r="C79" s="1"/>
      <c r="D79" s="1">
        <v>8.4</v>
      </c>
      <c r="E79" s="1">
        <v>13</v>
      </c>
      <c r="F79" s="1">
        <v>1</v>
      </c>
    </row>
    <row r="80" spans="1:6" x14ac:dyDescent="0.25">
      <c r="A80" s="1">
        <v>0</v>
      </c>
      <c r="B80" s="1">
        <v>0</v>
      </c>
      <c r="C80" s="1"/>
      <c r="D80" s="1">
        <v>9.3000000000000007</v>
      </c>
      <c r="E80" s="1">
        <v>9</v>
      </c>
      <c r="F80" s="1">
        <v>0</v>
      </c>
    </row>
    <row r="81" spans="1:6" x14ac:dyDescent="0.25">
      <c r="A81" s="1">
        <v>1</v>
      </c>
      <c r="B81" s="1">
        <v>1</v>
      </c>
      <c r="C81" s="1"/>
      <c r="D81" s="1">
        <v>15</v>
      </c>
      <c r="E81" s="1">
        <v>5</v>
      </c>
      <c r="F81" s="1">
        <v>1</v>
      </c>
    </row>
    <row r="82" spans="1:6" x14ac:dyDescent="0.25">
      <c r="A82" s="1">
        <v>0</v>
      </c>
      <c r="B82" s="1">
        <v>0</v>
      </c>
      <c r="C82" s="1"/>
      <c r="D82" s="1">
        <v>21</v>
      </c>
      <c r="E82" s="1">
        <v>13</v>
      </c>
      <c r="F82" s="1">
        <v>0</v>
      </c>
    </row>
    <row r="83" spans="1:6" x14ac:dyDescent="0.25">
      <c r="A83" s="1">
        <v>1</v>
      </c>
      <c r="B83" s="1">
        <v>1</v>
      </c>
      <c r="C83" s="1"/>
      <c r="D83" s="1">
        <v>21.7</v>
      </c>
      <c r="E83" s="1">
        <v>7</v>
      </c>
      <c r="F83" s="1">
        <v>1</v>
      </c>
    </row>
    <row r="84" spans="1:6" x14ac:dyDescent="0.25">
      <c r="A84" s="1">
        <v>1</v>
      </c>
      <c r="B84" s="1">
        <v>1</v>
      </c>
      <c r="C84" s="1"/>
      <c r="D84" s="1">
        <v>28.4</v>
      </c>
      <c r="E84" s="1">
        <v>7</v>
      </c>
      <c r="F84" s="1">
        <v>0</v>
      </c>
    </row>
    <row r="85" spans="1:6" x14ac:dyDescent="0.25">
      <c r="A85" s="1">
        <v>0</v>
      </c>
      <c r="B85" s="1">
        <v>0</v>
      </c>
      <c r="C85" s="1"/>
      <c r="D85" s="1">
        <v>3</v>
      </c>
      <c r="E85" s="1">
        <v>9</v>
      </c>
      <c r="F85" s="1">
        <v>1</v>
      </c>
    </row>
    <row r="86" spans="1:6" x14ac:dyDescent="0.25">
      <c r="A86" s="1">
        <v>0</v>
      </c>
      <c r="B86" s="1">
        <v>0</v>
      </c>
      <c r="C86" s="1"/>
      <c r="D86" s="1">
        <v>16.600000000000001</v>
      </c>
      <c r="E86" s="1">
        <v>13</v>
      </c>
      <c r="F86" s="1">
        <v>1</v>
      </c>
    </row>
    <row r="87" spans="1:6" x14ac:dyDescent="0.25">
      <c r="A87" s="1">
        <v>1</v>
      </c>
      <c r="B87" s="1">
        <v>1</v>
      </c>
      <c r="C87" s="1"/>
      <c r="D87" s="1">
        <v>24</v>
      </c>
      <c r="E87" s="1">
        <v>11</v>
      </c>
      <c r="F87" s="1">
        <v>0</v>
      </c>
    </row>
    <row r="88" spans="1:6" x14ac:dyDescent="0.25">
      <c r="A88" s="1">
        <v>0</v>
      </c>
      <c r="B88" s="1">
        <v>0</v>
      </c>
      <c r="C88" s="1"/>
      <c r="D88" s="1">
        <v>16.5</v>
      </c>
      <c r="E88" s="1">
        <v>14</v>
      </c>
      <c r="F88" s="1">
        <v>0</v>
      </c>
    </row>
    <row r="89" spans="1:6" x14ac:dyDescent="0.25">
      <c r="A89" s="1">
        <v>0</v>
      </c>
      <c r="B89" s="1">
        <v>0</v>
      </c>
      <c r="C89" s="1"/>
      <c r="D89" s="1">
        <v>12.4</v>
      </c>
      <c r="E89" s="1">
        <v>7</v>
      </c>
      <c r="F89" s="1">
        <v>0</v>
      </c>
    </row>
    <row r="90" spans="1:6" x14ac:dyDescent="0.25">
      <c r="A90" s="1">
        <v>1</v>
      </c>
      <c r="B90" s="1">
        <v>1</v>
      </c>
      <c r="C90" s="1"/>
      <c r="D90" s="1">
        <v>23.8</v>
      </c>
      <c r="E90" s="1">
        <v>8</v>
      </c>
      <c r="F90" s="1">
        <v>0</v>
      </c>
    </row>
    <row r="91" spans="1:6" x14ac:dyDescent="0.25">
      <c r="A91" s="1">
        <v>1</v>
      </c>
      <c r="B91" s="1">
        <v>1</v>
      </c>
      <c r="C91" s="1"/>
      <c r="D91" s="1">
        <v>28.1</v>
      </c>
      <c r="E91" s="1">
        <v>6</v>
      </c>
      <c r="F91" s="1">
        <v>0</v>
      </c>
    </row>
    <row r="92" spans="1:6" x14ac:dyDescent="0.25">
      <c r="A92" s="1">
        <v>1</v>
      </c>
      <c r="B92" s="1">
        <v>1</v>
      </c>
      <c r="C92" s="1"/>
      <c r="D92" s="1">
        <v>23.2</v>
      </c>
      <c r="E92" s="1">
        <v>13</v>
      </c>
      <c r="F92" s="1">
        <v>0</v>
      </c>
    </row>
    <row r="93" spans="1:6" x14ac:dyDescent="0.25">
      <c r="A93" s="1">
        <v>1</v>
      </c>
      <c r="B93" s="1">
        <v>1</v>
      </c>
      <c r="C93" s="1"/>
      <c r="D93" s="1">
        <v>13.3</v>
      </c>
      <c r="E93" s="1">
        <v>6</v>
      </c>
      <c r="F93" s="1">
        <v>1</v>
      </c>
    </row>
    <row r="94" spans="1:6" x14ac:dyDescent="0.25">
      <c r="A94" s="1">
        <v>1</v>
      </c>
      <c r="B94" s="1">
        <v>1</v>
      </c>
      <c r="C94" s="1"/>
      <c r="D94" s="1">
        <v>14.7</v>
      </c>
      <c r="E94" s="1">
        <v>5</v>
      </c>
      <c r="F94" s="1">
        <v>1</v>
      </c>
    </row>
    <row r="95" spans="1:6" x14ac:dyDescent="0.25">
      <c r="A95" s="1">
        <v>0</v>
      </c>
      <c r="B95" s="1">
        <v>0</v>
      </c>
      <c r="C95" s="1"/>
      <c r="D95" s="1">
        <v>5.7</v>
      </c>
      <c r="E95" s="1">
        <v>12</v>
      </c>
      <c r="F95" s="1">
        <v>0</v>
      </c>
    </row>
    <row r="96" spans="1:6" x14ac:dyDescent="0.25">
      <c r="A96" s="1">
        <v>0</v>
      </c>
      <c r="B96" s="1">
        <v>0</v>
      </c>
      <c r="C96" s="1"/>
      <c r="D96" s="1">
        <v>15.2</v>
      </c>
      <c r="E96" s="1">
        <v>14</v>
      </c>
      <c r="F96" s="1">
        <v>1</v>
      </c>
    </row>
    <row r="97" spans="1:6" x14ac:dyDescent="0.25">
      <c r="A97" s="1">
        <v>0</v>
      </c>
      <c r="B97" s="1">
        <v>0</v>
      </c>
      <c r="C97" s="1"/>
      <c r="D97" s="1">
        <v>13.8</v>
      </c>
      <c r="E97" s="1">
        <v>10</v>
      </c>
      <c r="F97" s="1">
        <v>0</v>
      </c>
    </row>
    <row r="98" spans="1:6" x14ac:dyDescent="0.25">
      <c r="A98" s="1">
        <v>0</v>
      </c>
      <c r="B98" s="1">
        <v>0</v>
      </c>
      <c r="C98" s="1"/>
      <c r="D98" s="1">
        <v>19.2</v>
      </c>
      <c r="E98" s="1">
        <v>9</v>
      </c>
      <c r="F98" s="1">
        <v>0</v>
      </c>
    </row>
    <row r="99" spans="1:6" x14ac:dyDescent="0.25">
      <c r="A99" s="1">
        <v>0</v>
      </c>
      <c r="B99" s="1">
        <v>0</v>
      </c>
      <c r="C99" s="1"/>
      <c r="D99" s="1">
        <v>13</v>
      </c>
      <c r="E99" s="1">
        <v>14</v>
      </c>
      <c r="F99" s="1">
        <v>0</v>
      </c>
    </row>
    <row r="100" spans="1:6" x14ac:dyDescent="0.25">
      <c r="A100" s="1">
        <v>1</v>
      </c>
      <c r="B100" s="1">
        <v>1</v>
      </c>
      <c r="C100" s="1"/>
      <c r="D100" s="1">
        <v>25.9</v>
      </c>
      <c r="E100" s="1">
        <v>11</v>
      </c>
      <c r="F100" s="1">
        <v>1</v>
      </c>
    </row>
    <row r="101" spans="1:6" x14ac:dyDescent="0.25">
      <c r="A101" s="1">
        <v>0</v>
      </c>
      <c r="B101" s="1">
        <v>0</v>
      </c>
      <c r="C101" s="1"/>
      <c r="D101" s="1">
        <v>13.4</v>
      </c>
      <c r="E101" s="1">
        <v>10</v>
      </c>
      <c r="F101" s="1">
        <v>0</v>
      </c>
    </row>
    <row r="102" spans="1:6" x14ac:dyDescent="0.25">
      <c r="A102" s="1">
        <v>1</v>
      </c>
      <c r="B102" s="1"/>
      <c r="C102" s="1">
        <v>1</v>
      </c>
      <c r="D102" s="1">
        <v>13.6</v>
      </c>
      <c r="E102" s="1">
        <v>5</v>
      </c>
      <c r="F102" s="1">
        <v>1</v>
      </c>
    </row>
    <row r="103" spans="1:6" x14ac:dyDescent="0.25">
      <c r="A103" s="1">
        <v>1</v>
      </c>
      <c r="B103" s="1"/>
      <c r="C103" s="1">
        <v>1</v>
      </c>
      <c r="D103" s="1">
        <v>13.7</v>
      </c>
      <c r="E103" s="1">
        <v>5</v>
      </c>
      <c r="F103" s="1">
        <v>1</v>
      </c>
    </row>
    <row r="104" spans="1:6" x14ac:dyDescent="0.25">
      <c r="A104" s="1">
        <v>0</v>
      </c>
      <c r="B104" s="1"/>
      <c r="C104" s="1">
        <v>0</v>
      </c>
      <c r="D104" s="1">
        <v>18.2</v>
      </c>
      <c r="E104" s="1">
        <v>13</v>
      </c>
      <c r="F104" s="1">
        <v>0</v>
      </c>
    </row>
    <row r="105" spans="1:6" x14ac:dyDescent="0.25">
      <c r="A105" s="1">
        <v>1</v>
      </c>
      <c r="B105" s="1"/>
      <c r="C105" s="1">
        <v>1</v>
      </c>
      <c r="D105" s="1">
        <v>27.5</v>
      </c>
      <c r="E105" s="1">
        <v>12</v>
      </c>
      <c r="F105" s="1">
        <v>1</v>
      </c>
    </row>
    <row r="106" spans="1:6" x14ac:dyDescent="0.25">
      <c r="A106" s="1">
        <v>0</v>
      </c>
      <c r="B106" s="1"/>
      <c r="C106" s="1">
        <v>0</v>
      </c>
      <c r="D106" s="1">
        <v>18.399999999999999</v>
      </c>
      <c r="E106" s="1">
        <v>13</v>
      </c>
      <c r="F106" s="1">
        <v>0</v>
      </c>
    </row>
    <row r="107" spans="1:6" x14ac:dyDescent="0.25">
      <c r="A107" s="1">
        <v>1</v>
      </c>
      <c r="B107" s="1"/>
      <c r="C107" s="1">
        <v>1</v>
      </c>
      <c r="D107" s="1">
        <v>23.5</v>
      </c>
      <c r="E107" s="1">
        <v>12</v>
      </c>
      <c r="F107" s="1">
        <v>1</v>
      </c>
    </row>
    <row r="108" spans="1:6" x14ac:dyDescent="0.25">
      <c r="A108" s="1">
        <v>0</v>
      </c>
      <c r="B108" s="1"/>
      <c r="C108" s="1">
        <v>0</v>
      </c>
      <c r="D108" s="1">
        <v>12.7</v>
      </c>
      <c r="E108" s="1">
        <v>11</v>
      </c>
      <c r="F108" s="1">
        <v>0</v>
      </c>
    </row>
    <row r="109" spans="1:6" x14ac:dyDescent="0.25">
      <c r="A109" s="1">
        <v>0</v>
      </c>
      <c r="B109" s="1"/>
      <c r="C109" s="1">
        <v>0</v>
      </c>
      <c r="D109" s="1">
        <v>22.4</v>
      </c>
      <c r="E109" s="1">
        <v>10</v>
      </c>
      <c r="F109" s="1">
        <v>0</v>
      </c>
    </row>
    <row r="110" spans="1:6" x14ac:dyDescent="0.25">
      <c r="A110" s="1">
        <v>0</v>
      </c>
      <c r="B110" s="1"/>
      <c r="C110" s="1">
        <v>0</v>
      </c>
      <c r="D110" s="1">
        <v>18.2</v>
      </c>
      <c r="E110" s="1">
        <v>9</v>
      </c>
      <c r="F110" s="1">
        <v>1</v>
      </c>
    </row>
    <row r="111" spans="1:6" x14ac:dyDescent="0.25">
      <c r="A111" s="1">
        <v>0</v>
      </c>
      <c r="B111" s="1"/>
      <c r="C111" s="1">
        <v>0</v>
      </c>
      <c r="D111" s="1">
        <v>16.899999999999999</v>
      </c>
      <c r="E111" s="1">
        <v>8</v>
      </c>
      <c r="F111" s="1">
        <v>0</v>
      </c>
    </row>
    <row r="112" spans="1:6" x14ac:dyDescent="0.25">
      <c r="A112" s="1">
        <v>0</v>
      </c>
      <c r="B112" s="1"/>
      <c r="C112" s="1">
        <v>0</v>
      </c>
      <c r="D112" s="1">
        <v>9.1</v>
      </c>
      <c r="E112" s="1">
        <v>7</v>
      </c>
      <c r="F112" s="1">
        <v>1</v>
      </c>
    </row>
    <row r="113" spans="1:6" x14ac:dyDescent="0.25">
      <c r="A113" s="1">
        <v>0</v>
      </c>
      <c r="B113" s="1"/>
      <c r="C113" s="1">
        <v>0</v>
      </c>
      <c r="D113" s="1">
        <v>21.7</v>
      </c>
      <c r="E113" s="1">
        <v>14</v>
      </c>
      <c r="F113" s="1">
        <v>0</v>
      </c>
    </row>
    <row r="114" spans="1:6" x14ac:dyDescent="0.25">
      <c r="A114" s="1">
        <v>0</v>
      </c>
      <c r="B114" s="1"/>
      <c r="C114" s="1">
        <v>0</v>
      </c>
      <c r="D114" s="1">
        <v>20.2</v>
      </c>
      <c r="E114" s="1">
        <v>12</v>
      </c>
      <c r="F114" s="1">
        <v>0</v>
      </c>
    </row>
    <row r="115" spans="1:6" x14ac:dyDescent="0.25">
      <c r="A115" s="1">
        <v>1</v>
      </c>
      <c r="B115" s="1"/>
      <c r="C115" s="1">
        <v>1</v>
      </c>
      <c r="D115" s="1">
        <v>19.5</v>
      </c>
      <c r="E115" s="1">
        <v>10</v>
      </c>
      <c r="F115" s="1">
        <v>1</v>
      </c>
    </row>
    <row r="116" spans="1:6" x14ac:dyDescent="0.25">
      <c r="A116" s="1">
        <v>1</v>
      </c>
      <c r="B116" s="1"/>
      <c r="C116" s="1">
        <v>1</v>
      </c>
      <c r="D116" s="1">
        <v>21.9</v>
      </c>
      <c r="E116" s="1">
        <v>6</v>
      </c>
      <c r="F116" s="1">
        <v>1</v>
      </c>
    </row>
    <row r="117" spans="1:6" x14ac:dyDescent="0.25">
      <c r="A117" s="1">
        <v>1</v>
      </c>
      <c r="B117" s="1"/>
      <c r="C117" s="1">
        <v>1</v>
      </c>
      <c r="D117" s="1">
        <v>9.3000000000000007</v>
      </c>
      <c r="E117" s="1">
        <v>7</v>
      </c>
      <c r="F117" s="1">
        <v>0</v>
      </c>
    </row>
    <row r="118" spans="1:6" x14ac:dyDescent="0.25">
      <c r="A118" s="1">
        <v>0</v>
      </c>
      <c r="B118" s="1"/>
      <c r="C118" s="1">
        <v>0</v>
      </c>
      <c r="D118" s="1">
        <v>14.1</v>
      </c>
      <c r="E118" s="1">
        <v>14</v>
      </c>
      <c r="F118" s="1">
        <v>1</v>
      </c>
    </row>
    <row r="119" spans="1:6" x14ac:dyDescent="0.25">
      <c r="A119" s="1">
        <v>0</v>
      </c>
      <c r="B119" s="1"/>
      <c r="C119" s="1">
        <v>0</v>
      </c>
      <c r="D119" s="1">
        <v>20.399999999999999</v>
      </c>
      <c r="E119" s="1">
        <v>7</v>
      </c>
      <c r="F119" s="1">
        <v>0</v>
      </c>
    </row>
    <row r="120" spans="1:6" x14ac:dyDescent="0.25">
      <c r="A120" s="1">
        <v>1</v>
      </c>
      <c r="B120" s="1"/>
      <c r="C120" s="1">
        <v>1</v>
      </c>
      <c r="D120" s="1">
        <v>23.7</v>
      </c>
      <c r="E120" s="1">
        <v>7</v>
      </c>
      <c r="F120" s="1">
        <v>1</v>
      </c>
    </row>
    <row r="121" spans="1:6" x14ac:dyDescent="0.25">
      <c r="A121" s="1">
        <v>1</v>
      </c>
      <c r="B121" s="1"/>
      <c r="C121" s="1">
        <v>1</v>
      </c>
      <c r="D121" s="1">
        <v>22.8</v>
      </c>
      <c r="E121" s="1">
        <v>14</v>
      </c>
      <c r="F121" s="1">
        <v>1</v>
      </c>
    </row>
    <row r="122" spans="1:6" x14ac:dyDescent="0.25">
      <c r="A122" s="1">
        <v>0</v>
      </c>
      <c r="B122" s="1"/>
      <c r="C122" s="1">
        <v>0</v>
      </c>
      <c r="D122" s="1">
        <v>13</v>
      </c>
      <c r="E122" s="1">
        <v>10</v>
      </c>
      <c r="F122" s="1">
        <v>0</v>
      </c>
    </row>
    <row r="123" spans="1:6" x14ac:dyDescent="0.25">
      <c r="A123" s="1">
        <v>0</v>
      </c>
      <c r="B123" s="1"/>
      <c r="C123" s="1">
        <v>0</v>
      </c>
      <c r="D123" s="1">
        <v>21.5</v>
      </c>
      <c r="E123" s="1">
        <v>14</v>
      </c>
      <c r="F123" s="1">
        <v>0</v>
      </c>
    </row>
    <row r="124" spans="1:6" x14ac:dyDescent="0.25">
      <c r="A124" s="1">
        <v>0</v>
      </c>
      <c r="B124" s="1"/>
      <c r="C124" s="1">
        <v>0</v>
      </c>
      <c r="D124" s="1">
        <v>3.9</v>
      </c>
      <c r="E124" s="1">
        <v>12</v>
      </c>
      <c r="F124" s="1">
        <v>1</v>
      </c>
    </row>
    <row r="125" spans="1:6" x14ac:dyDescent="0.25">
      <c r="A125" s="1">
        <v>1</v>
      </c>
      <c r="B125" s="1"/>
      <c r="C125" s="1">
        <v>1</v>
      </c>
      <c r="D125" s="1">
        <v>21.6</v>
      </c>
      <c r="E125" s="1">
        <v>13</v>
      </c>
      <c r="F125" s="1">
        <v>0</v>
      </c>
    </row>
    <row r="126" spans="1:6" x14ac:dyDescent="0.25">
      <c r="A126" s="1">
        <v>0</v>
      </c>
      <c r="B126" s="1"/>
      <c r="C126" s="1">
        <v>0</v>
      </c>
      <c r="D126" s="1">
        <v>14.1</v>
      </c>
      <c r="E126" s="1">
        <v>13</v>
      </c>
      <c r="F126" s="1">
        <v>0</v>
      </c>
    </row>
    <row r="127" spans="1:6" x14ac:dyDescent="0.25">
      <c r="A127" s="1">
        <v>1</v>
      </c>
      <c r="B127" s="1"/>
      <c r="C127" s="1">
        <v>1</v>
      </c>
      <c r="D127" s="1">
        <v>15.6</v>
      </c>
      <c r="E127" s="1">
        <v>6</v>
      </c>
      <c r="F127" s="1">
        <v>1</v>
      </c>
    </row>
    <row r="128" spans="1:6" x14ac:dyDescent="0.25">
      <c r="A128" s="1">
        <v>0</v>
      </c>
      <c r="B128" s="1"/>
      <c r="C128" s="1">
        <v>0</v>
      </c>
      <c r="D128" s="1">
        <v>17</v>
      </c>
      <c r="E128" s="1">
        <v>12</v>
      </c>
      <c r="F128" s="1">
        <v>0</v>
      </c>
    </row>
    <row r="129" spans="1:6" x14ac:dyDescent="0.25">
      <c r="A129" s="1">
        <v>1</v>
      </c>
      <c r="B129" s="1"/>
      <c r="C129" s="1">
        <v>1</v>
      </c>
      <c r="D129" s="1">
        <v>14.7</v>
      </c>
      <c r="E129" s="1">
        <v>5</v>
      </c>
      <c r="F129" s="1">
        <v>0</v>
      </c>
    </row>
    <row r="130" spans="1:6" x14ac:dyDescent="0.25">
      <c r="A130" s="1">
        <v>1</v>
      </c>
      <c r="B130" s="1"/>
      <c r="C130" s="1">
        <v>1</v>
      </c>
      <c r="D130" s="1">
        <v>20.3</v>
      </c>
      <c r="E130" s="1">
        <v>5</v>
      </c>
      <c r="F130" s="1">
        <v>1</v>
      </c>
    </row>
    <row r="131" spans="1:6" x14ac:dyDescent="0.25">
      <c r="A131" s="1">
        <v>0</v>
      </c>
      <c r="B131" s="1"/>
      <c r="C131" s="1">
        <v>0</v>
      </c>
      <c r="D131" s="1">
        <v>8.6</v>
      </c>
      <c r="E131" s="1">
        <v>9</v>
      </c>
      <c r="F131" s="1">
        <v>1</v>
      </c>
    </row>
    <row r="132" spans="1:6" x14ac:dyDescent="0.25">
      <c r="A132" s="1">
        <v>0</v>
      </c>
      <c r="B132" s="1"/>
      <c r="C132" s="1">
        <v>0</v>
      </c>
      <c r="D132" s="1">
        <v>8.4</v>
      </c>
      <c r="E132" s="1">
        <v>12</v>
      </c>
      <c r="F132" s="1">
        <v>1</v>
      </c>
    </row>
    <row r="133" spans="1:6" x14ac:dyDescent="0.25">
      <c r="A133" s="1">
        <v>0</v>
      </c>
      <c r="B133" s="1"/>
      <c r="C133" s="1">
        <v>0</v>
      </c>
      <c r="D133" s="1">
        <v>18.100000000000001</v>
      </c>
      <c r="E133" s="1">
        <v>9</v>
      </c>
      <c r="F133" s="1">
        <v>0</v>
      </c>
    </row>
    <row r="134" spans="1:6" x14ac:dyDescent="0.25">
      <c r="A134" s="1">
        <v>0</v>
      </c>
      <c r="B134" s="1"/>
      <c r="C134" s="1">
        <v>0</v>
      </c>
      <c r="D134" s="1">
        <v>17.8</v>
      </c>
      <c r="E134" s="1">
        <v>13</v>
      </c>
      <c r="F134" s="1">
        <v>1</v>
      </c>
    </row>
    <row r="135" spans="1:6" x14ac:dyDescent="0.25">
      <c r="A135" s="1">
        <v>1</v>
      </c>
      <c r="B135" s="1"/>
      <c r="C135" s="1">
        <v>1</v>
      </c>
      <c r="D135" s="1">
        <v>14.3</v>
      </c>
      <c r="E135" s="1">
        <v>11</v>
      </c>
      <c r="F135" s="1">
        <v>0</v>
      </c>
    </row>
    <row r="136" spans="1:6" x14ac:dyDescent="0.25">
      <c r="A136" s="1">
        <v>0</v>
      </c>
      <c r="B136" s="1"/>
      <c r="C136" s="1">
        <v>0</v>
      </c>
      <c r="D136" s="1">
        <v>11.6</v>
      </c>
      <c r="E136" s="1">
        <v>6</v>
      </c>
      <c r="F136" s="1">
        <v>0</v>
      </c>
    </row>
    <row r="137" spans="1:6" x14ac:dyDescent="0.25">
      <c r="A137" s="1">
        <v>1</v>
      </c>
      <c r="B137" s="1"/>
      <c r="C137" s="1">
        <v>1</v>
      </c>
      <c r="D137" s="1">
        <v>14.9</v>
      </c>
      <c r="E137" s="1">
        <v>8</v>
      </c>
      <c r="F137" s="1">
        <v>1</v>
      </c>
    </row>
    <row r="138" spans="1:6" x14ac:dyDescent="0.25">
      <c r="A138" s="1">
        <v>0</v>
      </c>
      <c r="B138" s="1"/>
      <c r="C138" s="1">
        <v>0</v>
      </c>
      <c r="D138" s="1">
        <v>15.8</v>
      </c>
      <c r="E138" s="1">
        <v>14</v>
      </c>
      <c r="F138" s="1">
        <v>0</v>
      </c>
    </row>
    <row r="139" spans="1:6" x14ac:dyDescent="0.25">
      <c r="A139" s="1">
        <v>1</v>
      </c>
      <c r="B139" s="1"/>
      <c r="C139" s="1">
        <v>1</v>
      </c>
      <c r="D139" s="1">
        <v>25.3</v>
      </c>
      <c r="E139" s="1">
        <v>11</v>
      </c>
      <c r="F139" s="1">
        <v>0</v>
      </c>
    </row>
    <row r="140" spans="1:6" x14ac:dyDescent="0.25">
      <c r="A140" s="1">
        <v>1</v>
      </c>
      <c r="B140" s="1"/>
      <c r="C140" s="1">
        <v>1</v>
      </c>
      <c r="D140" s="1">
        <v>22.3</v>
      </c>
      <c r="E140" s="1">
        <v>10</v>
      </c>
      <c r="F140" s="1">
        <v>1</v>
      </c>
    </row>
    <row r="141" spans="1:6" x14ac:dyDescent="0.25">
      <c r="A141" s="1">
        <v>1</v>
      </c>
      <c r="B141" s="1"/>
      <c r="C141" s="1">
        <v>1</v>
      </c>
      <c r="D141" s="1">
        <v>24.9</v>
      </c>
      <c r="E141" s="1">
        <v>6</v>
      </c>
      <c r="F141" s="1">
        <v>1</v>
      </c>
    </row>
    <row r="142" spans="1:6" x14ac:dyDescent="0.25">
      <c r="A142" s="1">
        <v>0</v>
      </c>
      <c r="B142" s="1"/>
      <c r="C142" s="1">
        <v>0</v>
      </c>
      <c r="D142" s="1">
        <v>16.8</v>
      </c>
      <c r="E142" s="1">
        <v>13</v>
      </c>
      <c r="F142" s="1">
        <v>0</v>
      </c>
    </row>
    <row r="143" spans="1:6" x14ac:dyDescent="0.25">
      <c r="A143" s="1">
        <v>1</v>
      </c>
      <c r="B143" s="1"/>
      <c r="C143" s="1">
        <v>1</v>
      </c>
      <c r="D143" s="1">
        <v>23.1</v>
      </c>
      <c r="E143" s="1">
        <v>5</v>
      </c>
      <c r="F143" s="1">
        <v>1</v>
      </c>
    </row>
    <row r="144" spans="1:6" x14ac:dyDescent="0.25">
      <c r="A144" s="1">
        <v>0</v>
      </c>
      <c r="B144" s="1"/>
      <c r="C144" s="1">
        <v>0</v>
      </c>
      <c r="D144" s="1">
        <v>16.7</v>
      </c>
      <c r="E144" s="1">
        <v>12</v>
      </c>
      <c r="F144" s="1">
        <v>0</v>
      </c>
    </row>
    <row r="145" spans="1:6" x14ac:dyDescent="0.25">
      <c r="A145" s="1">
        <v>1</v>
      </c>
      <c r="B145" s="1"/>
      <c r="C145" s="1">
        <v>1</v>
      </c>
      <c r="D145" s="1">
        <v>16.7</v>
      </c>
      <c r="E145" s="1">
        <v>6</v>
      </c>
      <c r="F145" s="1">
        <v>0</v>
      </c>
    </row>
    <row r="146" spans="1:6" x14ac:dyDescent="0.25">
      <c r="A146" s="1">
        <v>1</v>
      </c>
      <c r="B146" s="1"/>
      <c r="C146" s="1">
        <v>1</v>
      </c>
      <c r="D146" s="1">
        <v>23.5</v>
      </c>
      <c r="E146" s="1">
        <v>10</v>
      </c>
      <c r="F146" s="1">
        <v>0</v>
      </c>
    </row>
    <row r="147" spans="1:6" x14ac:dyDescent="0.25">
      <c r="A147" s="1">
        <v>1</v>
      </c>
      <c r="B147" s="1"/>
      <c r="C147" s="1">
        <v>1</v>
      </c>
      <c r="D147" s="1">
        <v>14.5</v>
      </c>
      <c r="E147" s="1">
        <v>5</v>
      </c>
      <c r="F147" s="1">
        <v>0</v>
      </c>
    </row>
    <row r="148" spans="1:6" x14ac:dyDescent="0.25">
      <c r="A148" s="1">
        <v>0</v>
      </c>
      <c r="B148" s="1"/>
      <c r="C148" s="1">
        <v>0</v>
      </c>
      <c r="D148" s="1">
        <v>11.9</v>
      </c>
      <c r="E148" s="1">
        <v>14</v>
      </c>
      <c r="F148" s="1">
        <v>1</v>
      </c>
    </row>
    <row r="149" spans="1:6" x14ac:dyDescent="0.25">
      <c r="A149" s="1">
        <v>0</v>
      </c>
      <c r="B149" s="1"/>
      <c r="C149" s="1">
        <v>0</v>
      </c>
      <c r="D149" s="1">
        <v>12.6</v>
      </c>
      <c r="E149" s="1">
        <v>6</v>
      </c>
      <c r="F149" s="1">
        <v>0</v>
      </c>
    </row>
    <row r="150" spans="1:6" x14ac:dyDescent="0.25">
      <c r="A150" s="1">
        <v>0</v>
      </c>
      <c r="B150" s="1"/>
      <c r="C150" s="1">
        <v>0</v>
      </c>
      <c r="D150" s="1">
        <v>8</v>
      </c>
      <c r="E150" s="1">
        <v>14</v>
      </c>
      <c r="F150" s="1">
        <v>1</v>
      </c>
    </row>
    <row r="151" spans="1:6" x14ac:dyDescent="0.25">
      <c r="A151" s="1">
        <v>0</v>
      </c>
      <c r="B151" s="1"/>
      <c r="C151" s="1">
        <v>0</v>
      </c>
      <c r="D151" s="1">
        <v>13.3</v>
      </c>
      <c r="E151" s="1">
        <v>8</v>
      </c>
      <c r="F151" s="1">
        <v>0</v>
      </c>
    </row>
    <row r="152" spans="1:6" x14ac:dyDescent="0.25">
      <c r="A152" s="1">
        <v>1</v>
      </c>
      <c r="B152" s="1"/>
      <c r="C152" s="1">
        <v>1</v>
      </c>
      <c r="D152" s="1">
        <v>28.4</v>
      </c>
      <c r="E152" s="1">
        <v>6</v>
      </c>
      <c r="F152" s="1">
        <v>0</v>
      </c>
    </row>
    <row r="153" spans="1:6" x14ac:dyDescent="0.25">
      <c r="A153" s="1">
        <v>0</v>
      </c>
      <c r="B153" s="1"/>
      <c r="C153" s="1">
        <v>0</v>
      </c>
      <c r="D153" s="1">
        <v>19.3</v>
      </c>
      <c r="E153" s="1">
        <v>13</v>
      </c>
      <c r="F153" s="1">
        <v>1</v>
      </c>
    </row>
    <row r="154" spans="1:6" x14ac:dyDescent="0.25">
      <c r="A154" s="1">
        <v>0</v>
      </c>
      <c r="B154" s="1"/>
      <c r="C154" s="1">
        <v>0</v>
      </c>
      <c r="D154" s="1">
        <v>11.9</v>
      </c>
      <c r="E154" s="1">
        <v>7</v>
      </c>
      <c r="F154" s="1">
        <v>1</v>
      </c>
    </row>
    <row r="155" spans="1:6" x14ac:dyDescent="0.25">
      <c r="A155" s="1">
        <v>0</v>
      </c>
      <c r="B155" s="1"/>
      <c r="C155" s="1">
        <v>0</v>
      </c>
      <c r="D155" s="1">
        <v>7.6</v>
      </c>
      <c r="E155" s="1">
        <v>14</v>
      </c>
      <c r="F155" s="1">
        <v>1</v>
      </c>
    </row>
    <row r="156" spans="1:6" x14ac:dyDescent="0.25">
      <c r="A156" s="1">
        <v>0</v>
      </c>
      <c r="B156" s="1"/>
      <c r="C156" s="1">
        <v>0</v>
      </c>
      <c r="D156" s="1">
        <v>18.3</v>
      </c>
      <c r="E156" s="1">
        <v>13</v>
      </c>
      <c r="F156" s="1">
        <v>0</v>
      </c>
    </row>
    <row r="157" spans="1:6" x14ac:dyDescent="0.25">
      <c r="A157" s="1">
        <v>1</v>
      </c>
      <c r="B157" s="1"/>
      <c r="C157" s="1">
        <v>1</v>
      </c>
      <c r="D157" s="1">
        <v>20.9</v>
      </c>
      <c r="E157" s="1">
        <v>8</v>
      </c>
      <c r="F157" s="1">
        <v>1</v>
      </c>
    </row>
    <row r="158" spans="1:6" x14ac:dyDescent="0.25">
      <c r="A158" s="1">
        <v>0</v>
      </c>
      <c r="B158" s="1"/>
      <c r="C158" s="1">
        <v>0</v>
      </c>
      <c r="D158" s="1">
        <v>15.9</v>
      </c>
      <c r="E158" s="1">
        <v>10</v>
      </c>
      <c r="F158" s="1">
        <v>0</v>
      </c>
    </row>
    <row r="159" spans="1:6" x14ac:dyDescent="0.25">
      <c r="A159" s="1">
        <v>0</v>
      </c>
      <c r="B159" s="1"/>
      <c r="C159" s="1">
        <v>0</v>
      </c>
      <c r="D159" s="1">
        <v>12.5</v>
      </c>
      <c r="E159" s="1">
        <v>7</v>
      </c>
      <c r="F159" s="1">
        <v>1</v>
      </c>
    </row>
    <row r="160" spans="1:6" x14ac:dyDescent="0.25">
      <c r="A160" s="1">
        <v>0</v>
      </c>
      <c r="B160" s="1"/>
      <c r="C160" s="1">
        <v>0</v>
      </c>
      <c r="D160" s="1">
        <v>13.8</v>
      </c>
      <c r="E160" s="1">
        <v>14</v>
      </c>
      <c r="F160" s="1">
        <v>0</v>
      </c>
    </row>
    <row r="161" spans="1:6" x14ac:dyDescent="0.25">
      <c r="A161" s="1">
        <v>1</v>
      </c>
      <c r="B161" s="1"/>
      <c r="C161" s="1">
        <v>1</v>
      </c>
      <c r="D161" s="1">
        <v>14</v>
      </c>
      <c r="E161" s="1">
        <v>5</v>
      </c>
      <c r="F161" s="1">
        <v>0</v>
      </c>
    </row>
    <row r="162" spans="1:6" x14ac:dyDescent="0.25">
      <c r="A162" s="1">
        <v>0</v>
      </c>
      <c r="B162" s="1"/>
      <c r="C162" s="1">
        <v>0</v>
      </c>
      <c r="D162" s="1">
        <v>11.7</v>
      </c>
      <c r="E162" s="1">
        <v>10</v>
      </c>
      <c r="F162" s="1">
        <v>0</v>
      </c>
    </row>
    <row r="163" spans="1:6" x14ac:dyDescent="0.25">
      <c r="A163" s="1">
        <v>1</v>
      </c>
      <c r="B163" s="1"/>
      <c r="C163" s="1">
        <v>1</v>
      </c>
      <c r="D163" s="1">
        <v>28.1</v>
      </c>
      <c r="E163" s="1">
        <v>13</v>
      </c>
      <c r="F163" s="1">
        <v>0</v>
      </c>
    </row>
    <row r="164" spans="1:6" x14ac:dyDescent="0.25">
      <c r="A164" s="1">
        <v>1</v>
      </c>
      <c r="B164" s="1"/>
      <c r="C164" s="1">
        <v>1</v>
      </c>
      <c r="D164" s="1">
        <v>18.600000000000001</v>
      </c>
      <c r="E164" s="1">
        <v>10</v>
      </c>
      <c r="F164" s="1">
        <v>0</v>
      </c>
    </row>
    <row r="165" spans="1:6" x14ac:dyDescent="0.25">
      <c r="A165" s="1">
        <v>1</v>
      </c>
      <c r="B165" s="1"/>
      <c r="C165" s="1">
        <v>1</v>
      </c>
      <c r="D165" s="1">
        <v>23</v>
      </c>
      <c r="E165" s="1">
        <v>14</v>
      </c>
      <c r="F165" s="1">
        <v>1</v>
      </c>
    </row>
    <row r="166" spans="1:6" x14ac:dyDescent="0.25">
      <c r="A166" s="1">
        <v>1</v>
      </c>
      <c r="B166" s="1"/>
      <c r="C166" s="1">
        <v>1</v>
      </c>
      <c r="D166" s="1">
        <v>20.7</v>
      </c>
      <c r="E166" s="1">
        <v>7</v>
      </c>
      <c r="F166" s="1">
        <v>1</v>
      </c>
    </row>
    <row r="167" spans="1:6" x14ac:dyDescent="0.25">
      <c r="A167" s="1">
        <v>1</v>
      </c>
      <c r="B167" s="1"/>
      <c r="C167" s="1">
        <v>1</v>
      </c>
      <c r="D167" s="1">
        <v>27.1</v>
      </c>
      <c r="E167" s="1">
        <v>8</v>
      </c>
      <c r="F167" s="1">
        <v>0</v>
      </c>
    </row>
    <row r="168" spans="1:6" x14ac:dyDescent="0.25">
      <c r="A168" s="1">
        <v>0</v>
      </c>
      <c r="B168" s="1"/>
      <c r="C168" s="1">
        <v>0</v>
      </c>
      <c r="D168" s="1">
        <v>9.5</v>
      </c>
      <c r="E168" s="1">
        <v>9</v>
      </c>
      <c r="F168" s="1">
        <v>1</v>
      </c>
    </row>
    <row r="169" spans="1:6" x14ac:dyDescent="0.25">
      <c r="A169" s="1">
        <v>1</v>
      </c>
      <c r="B169" s="1"/>
      <c r="C169" s="1">
        <v>1</v>
      </c>
      <c r="D169" s="1">
        <v>27.1</v>
      </c>
      <c r="E169" s="1">
        <v>14</v>
      </c>
      <c r="F169" s="1">
        <v>1</v>
      </c>
    </row>
    <row r="170" spans="1:6" x14ac:dyDescent="0.25">
      <c r="A170" s="1">
        <v>1</v>
      </c>
      <c r="B170" s="1"/>
      <c r="C170" s="1">
        <v>1</v>
      </c>
      <c r="D170" s="1">
        <v>13.4</v>
      </c>
      <c r="E170" s="1">
        <v>9</v>
      </c>
      <c r="F170" s="1">
        <v>1</v>
      </c>
    </row>
    <row r="171" spans="1:6" x14ac:dyDescent="0.25">
      <c r="A171" s="1">
        <v>1</v>
      </c>
      <c r="B171" s="1"/>
      <c r="C171" s="1">
        <v>1</v>
      </c>
      <c r="D171" s="1">
        <v>15.4</v>
      </c>
      <c r="E171" s="1">
        <v>5</v>
      </c>
      <c r="F171" s="1">
        <v>1</v>
      </c>
    </row>
    <row r="172" spans="1:6" x14ac:dyDescent="0.25">
      <c r="A172" s="1">
        <v>1</v>
      </c>
      <c r="B172" s="1"/>
      <c r="C172" s="1">
        <v>1</v>
      </c>
      <c r="D172" s="1">
        <v>22.9</v>
      </c>
      <c r="E172" s="1">
        <v>7</v>
      </c>
      <c r="F172" s="1">
        <v>0</v>
      </c>
    </row>
    <row r="173" spans="1:6" x14ac:dyDescent="0.25">
      <c r="A173" s="1">
        <v>0</v>
      </c>
      <c r="B173" s="1"/>
      <c r="C173" s="1">
        <v>0</v>
      </c>
      <c r="D173" s="1">
        <v>13.9</v>
      </c>
      <c r="E173" s="1">
        <v>12</v>
      </c>
      <c r="F173" s="1">
        <v>1</v>
      </c>
    </row>
    <row r="174" spans="1:6" x14ac:dyDescent="0.25">
      <c r="A174" s="1">
        <v>0</v>
      </c>
      <c r="B174" s="1"/>
      <c r="C174" s="1">
        <v>0</v>
      </c>
      <c r="D174" s="1">
        <v>9.1</v>
      </c>
      <c r="E174" s="1">
        <v>6</v>
      </c>
      <c r="F174" s="1">
        <v>1</v>
      </c>
    </row>
    <row r="175" spans="1:6" x14ac:dyDescent="0.25">
      <c r="A175" s="1">
        <v>0</v>
      </c>
      <c r="B175" s="1"/>
      <c r="C175" s="1">
        <v>0</v>
      </c>
      <c r="D175" s="1">
        <v>17.3</v>
      </c>
      <c r="E175" s="1">
        <v>11</v>
      </c>
      <c r="F175" s="1">
        <v>0</v>
      </c>
    </row>
    <row r="176" spans="1:6" x14ac:dyDescent="0.25">
      <c r="A176" s="1">
        <v>1</v>
      </c>
      <c r="B176" s="1"/>
      <c r="C176" s="1">
        <v>1</v>
      </c>
      <c r="D176" s="1">
        <v>16</v>
      </c>
      <c r="E176" s="1">
        <v>6</v>
      </c>
      <c r="F176" s="1">
        <v>0</v>
      </c>
    </row>
    <row r="177" spans="1:6" x14ac:dyDescent="0.25">
      <c r="A177" s="1">
        <v>1</v>
      </c>
      <c r="B177" s="1"/>
      <c r="C177" s="1">
        <v>1</v>
      </c>
      <c r="D177" s="1">
        <v>23.5</v>
      </c>
      <c r="E177" s="1">
        <v>13</v>
      </c>
      <c r="F177" s="1">
        <v>0</v>
      </c>
    </row>
    <row r="178" spans="1:6" x14ac:dyDescent="0.25">
      <c r="A178" s="1">
        <v>0</v>
      </c>
      <c r="B178" s="1"/>
      <c r="C178" s="1">
        <v>0</v>
      </c>
      <c r="D178" s="1">
        <v>7.3</v>
      </c>
      <c r="E178" s="1">
        <v>10</v>
      </c>
      <c r="F178" s="1">
        <v>1</v>
      </c>
    </row>
    <row r="179" spans="1:6" x14ac:dyDescent="0.25">
      <c r="A179" s="1">
        <v>1</v>
      </c>
      <c r="B179" s="1"/>
      <c r="C179" s="1">
        <v>1</v>
      </c>
      <c r="D179" s="1">
        <v>15.3</v>
      </c>
      <c r="E179" s="1">
        <v>8</v>
      </c>
      <c r="F179" s="1">
        <v>0</v>
      </c>
    </row>
    <row r="180" spans="1:6" x14ac:dyDescent="0.25">
      <c r="A180" s="1">
        <v>1</v>
      </c>
      <c r="B180" s="1"/>
      <c r="C180" s="1">
        <v>1</v>
      </c>
      <c r="D180" s="1">
        <v>17.899999999999999</v>
      </c>
      <c r="E180" s="1">
        <v>14</v>
      </c>
      <c r="F180" s="1">
        <v>1</v>
      </c>
    </row>
    <row r="181" spans="1:6" x14ac:dyDescent="0.25">
      <c r="A181" s="1">
        <v>1</v>
      </c>
      <c r="B181" s="1"/>
      <c r="C181" s="1">
        <v>1</v>
      </c>
      <c r="D181" s="1">
        <v>7</v>
      </c>
      <c r="E181" s="1">
        <v>7</v>
      </c>
      <c r="F181" s="1">
        <v>1</v>
      </c>
    </row>
    <row r="182" spans="1:6" x14ac:dyDescent="0.25">
      <c r="A182" s="1">
        <v>1</v>
      </c>
      <c r="B182" s="1"/>
      <c r="C182" s="1">
        <v>1</v>
      </c>
      <c r="D182" s="1">
        <v>10.6</v>
      </c>
      <c r="E182" s="1">
        <v>8</v>
      </c>
      <c r="F182" s="1">
        <v>0</v>
      </c>
    </row>
    <row r="183" spans="1:6" x14ac:dyDescent="0.25">
      <c r="A183" s="1">
        <v>0</v>
      </c>
      <c r="B183" s="1"/>
      <c r="C183" s="1">
        <v>0</v>
      </c>
      <c r="D183" s="1">
        <v>7.3</v>
      </c>
      <c r="E183" s="1">
        <v>13</v>
      </c>
      <c r="F183" s="1">
        <v>1</v>
      </c>
    </row>
    <row r="184" spans="1:6" x14ac:dyDescent="0.25">
      <c r="A184" s="1">
        <v>0</v>
      </c>
      <c r="B184" s="1"/>
      <c r="C184" s="1">
        <v>0</v>
      </c>
      <c r="D184" s="1">
        <v>18.899999999999999</v>
      </c>
      <c r="E184" s="1">
        <v>13</v>
      </c>
      <c r="F184" s="1">
        <v>0</v>
      </c>
    </row>
    <row r="185" spans="1:6" x14ac:dyDescent="0.25">
      <c r="A185" s="1">
        <v>0</v>
      </c>
      <c r="B185" s="1"/>
      <c r="C185" s="1">
        <v>0</v>
      </c>
      <c r="D185" s="1">
        <v>9.6999999999999993</v>
      </c>
      <c r="E185" s="1">
        <v>13</v>
      </c>
      <c r="F185" s="1">
        <v>1</v>
      </c>
    </row>
    <row r="186" spans="1:6" x14ac:dyDescent="0.25">
      <c r="A186" s="1">
        <v>1</v>
      </c>
      <c r="B186" s="1"/>
      <c r="C186" s="1">
        <v>1</v>
      </c>
      <c r="D186" s="1">
        <v>28.2</v>
      </c>
      <c r="E186" s="1">
        <v>14</v>
      </c>
      <c r="F186" s="1">
        <v>0</v>
      </c>
    </row>
    <row r="187" spans="1:6" x14ac:dyDescent="0.25">
      <c r="A187" s="1">
        <v>1</v>
      </c>
      <c r="B187" s="1"/>
      <c r="C187" s="1">
        <v>1</v>
      </c>
      <c r="D187" s="1">
        <v>19.2</v>
      </c>
      <c r="E187" s="1">
        <v>12</v>
      </c>
      <c r="F187" s="1">
        <v>0</v>
      </c>
    </row>
    <row r="188" spans="1:6" x14ac:dyDescent="0.25">
      <c r="A188" s="1">
        <v>1</v>
      </c>
      <c r="B188" s="1"/>
      <c r="C188" s="1">
        <v>1</v>
      </c>
      <c r="D188" s="1">
        <v>17.2</v>
      </c>
      <c r="E188" s="1">
        <v>8</v>
      </c>
      <c r="F188" s="1">
        <v>1</v>
      </c>
    </row>
    <row r="189" spans="1:6" x14ac:dyDescent="0.25">
      <c r="A189" s="1">
        <v>0</v>
      </c>
      <c r="B189" s="1"/>
      <c r="C189" s="1">
        <v>0</v>
      </c>
      <c r="D189" s="1">
        <v>9.9</v>
      </c>
      <c r="E189" s="1">
        <v>6</v>
      </c>
      <c r="F189" s="1">
        <v>1</v>
      </c>
    </row>
    <row r="190" spans="1:6" x14ac:dyDescent="0.25">
      <c r="A190" s="1">
        <v>1</v>
      </c>
      <c r="B190" s="1"/>
      <c r="C190" s="1">
        <v>1</v>
      </c>
      <c r="D190" s="1">
        <v>27.2</v>
      </c>
      <c r="E190" s="1">
        <v>9</v>
      </c>
      <c r="F190" s="1">
        <v>0</v>
      </c>
    </row>
    <row r="191" spans="1:6" x14ac:dyDescent="0.25">
      <c r="A191" s="1">
        <v>1</v>
      </c>
      <c r="B191" s="1"/>
      <c r="C191" s="1">
        <v>1</v>
      </c>
      <c r="D191" s="1">
        <v>17.899999999999999</v>
      </c>
      <c r="E191" s="1">
        <v>11</v>
      </c>
      <c r="F191" s="1">
        <v>1</v>
      </c>
    </row>
    <row r="192" spans="1:6" x14ac:dyDescent="0.25">
      <c r="A192" s="1">
        <v>1</v>
      </c>
      <c r="B192" s="1"/>
      <c r="C192" s="1">
        <v>1</v>
      </c>
      <c r="D192" s="1">
        <v>14</v>
      </c>
      <c r="E192" s="1">
        <v>5</v>
      </c>
      <c r="F192" s="1">
        <v>0</v>
      </c>
    </row>
    <row r="193" spans="1:6" x14ac:dyDescent="0.25">
      <c r="A193" s="1">
        <v>1</v>
      </c>
      <c r="B193" s="1"/>
      <c r="C193" s="1">
        <v>1</v>
      </c>
      <c r="D193" s="1">
        <v>10.3</v>
      </c>
      <c r="E193" s="1">
        <v>12</v>
      </c>
      <c r="F193" s="1">
        <v>0</v>
      </c>
    </row>
    <row r="194" spans="1:6" x14ac:dyDescent="0.25">
      <c r="A194" s="1">
        <v>1</v>
      </c>
      <c r="B194" s="1"/>
      <c r="C194" s="1">
        <v>1</v>
      </c>
      <c r="D194" s="1">
        <v>24.4</v>
      </c>
      <c r="E194" s="1">
        <v>6</v>
      </c>
      <c r="F194" s="1">
        <v>1</v>
      </c>
    </row>
    <row r="195" spans="1:6" x14ac:dyDescent="0.25">
      <c r="A195" s="1">
        <v>0</v>
      </c>
      <c r="B195" s="1"/>
      <c r="C195" s="1">
        <v>0</v>
      </c>
      <c r="D195" s="1">
        <v>13.6</v>
      </c>
      <c r="E195" s="1">
        <v>14</v>
      </c>
      <c r="F195" s="1">
        <v>0</v>
      </c>
    </row>
    <row r="196" spans="1:6" x14ac:dyDescent="0.25">
      <c r="A196" s="1">
        <v>1</v>
      </c>
      <c r="B196" s="1"/>
      <c r="C196" s="1">
        <v>1</v>
      </c>
      <c r="D196" s="1">
        <v>26.6</v>
      </c>
      <c r="E196" s="1">
        <v>6</v>
      </c>
      <c r="F196" s="1">
        <v>0</v>
      </c>
    </row>
    <row r="197" spans="1:6" x14ac:dyDescent="0.25">
      <c r="A197" s="1">
        <v>1</v>
      </c>
      <c r="B197" s="1"/>
      <c r="C197" s="1">
        <v>1</v>
      </c>
      <c r="D197" s="1">
        <v>29.2</v>
      </c>
      <c r="E197" s="1">
        <v>9</v>
      </c>
      <c r="F197" s="1">
        <v>1</v>
      </c>
    </row>
    <row r="198" spans="1:6" x14ac:dyDescent="0.25">
      <c r="A198" s="1">
        <v>0</v>
      </c>
      <c r="B198" s="1"/>
      <c r="C198" s="1">
        <v>0</v>
      </c>
      <c r="D198" s="1">
        <v>19.100000000000001</v>
      </c>
      <c r="E198" s="1">
        <v>11</v>
      </c>
      <c r="F198" s="1">
        <v>0</v>
      </c>
    </row>
    <row r="199" spans="1:6" x14ac:dyDescent="0.25">
      <c r="A199" s="1">
        <v>0</v>
      </c>
      <c r="B199" s="1"/>
      <c r="C199" s="1">
        <v>0</v>
      </c>
      <c r="D199" s="1">
        <v>10.1</v>
      </c>
      <c r="E199" s="1">
        <v>6</v>
      </c>
      <c r="F199" s="1">
        <v>1</v>
      </c>
    </row>
    <row r="200" spans="1:6" x14ac:dyDescent="0.25">
      <c r="A200" s="1">
        <v>1</v>
      </c>
      <c r="B200" s="1"/>
      <c r="C200" s="1">
        <v>1</v>
      </c>
      <c r="D200" s="1">
        <v>16.100000000000001</v>
      </c>
      <c r="E200" s="1">
        <v>14</v>
      </c>
      <c r="F200" s="1">
        <v>1</v>
      </c>
    </row>
    <row r="201" spans="1:6" x14ac:dyDescent="0.25">
      <c r="A201" s="1">
        <v>0</v>
      </c>
      <c r="B201" s="1"/>
      <c r="C201" s="1">
        <v>0</v>
      </c>
      <c r="D201" s="1">
        <v>8.6999999999999993</v>
      </c>
      <c r="E201" s="1">
        <v>12</v>
      </c>
      <c r="F201" s="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G390"/>
  <sheetViews>
    <sheetView showGridLines="0" showRowColHeaders="0" tabSelected="1" zoomScaleNormal="100" workbookViewId="0">
      <selection activeCell="B1" sqref="B1"/>
    </sheetView>
  </sheetViews>
  <sheetFormatPr defaultRowHeight="11.25" outlineLevelRow="1" x14ac:dyDescent="0.2"/>
  <cols>
    <col min="1" max="1" width="15.7109375" style="2" customWidth="1"/>
    <col min="2" max="9" width="9.7109375" style="2" customWidth="1"/>
    <col min="10" max="16384" width="9.140625" style="2"/>
  </cols>
  <sheetData>
    <row r="1" spans="1:137" x14ac:dyDescent="0.2">
      <c r="A1" s="3" t="s">
        <v>6</v>
      </c>
      <c r="B1" s="2" t="s">
        <v>7</v>
      </c>
      <c r="F1" s="4"/>
      <c r="R1" s="4" t="s">
        <v>8</v>
      </c>
      <c r="Z1" s="87" t="s">
        <v>9</v>
      </c>
      <c r="BZ1" s="5" t="s">
        <v>9</v>
      </c>
    </row>
    <row r="2" spans="1:137" x14ac:dyDescent="0.2">
      <c r="A2" s="3" t="s">
        <v>10</v>
      </c>
      <c r="C2" s="2" t="s">
        <v>1</v>
      </c>
      <c r="G2" s="7" t="s">
        <v>11</v>
      </c>
      <c r="H2" s="8" t="s">
        <v>12</v>
      </c>
      <c r="I2" s="11" t="s">
        <v>13</v>
      </c>
    </row>
    <row r="3" spans="1:137" outlineLevel="1" x14ac:dyDescent="0.2">
      <c r="A3" s="3" t="s">
        <v>14</v>
      </c>
    </row>
    <row r="4" spans="1:137" outlineLevel="1" x14ac:dyDescent="0.2">
      <c r="A4" s="2" t="s">
        <v>3</v>
      </c>
    </row>
    <row r="5" spans="1:137" outlineLevel="1" x14ac:dyDescent="0.2">
      <c r="A5" s="3" t="s">
        <v>15</v>
      </c>
    </row>
    <row r="6" spans="1:137" outlineLevel="1" x14ac:dyDescent="0.2">
      <c r="A6" s="2" t="s">
        <v>16</v>
      </c>
    </row>
    <row r="7" spans="1:137" outlineLevel="1" x14ac:dyDescent="0.2">
      <c r="A7" s="2" t="s">
        <v>17</v>
      </c>
    </row>
    <row r="8" spans="1:137" x14ac:dyDescent="0.2">
      <c r="A8" s="85"/>
      <c r="J8" s="4" t="s">
        <v>150</v>
      </c>
      <c r="K8" s="4" t="s">
        <v>151</v>
      </c>
    </row>
    <row r="9" spans="1:137" x14ac:dyDescent="0.2">
      <c r="A9" s="12" t="s">
        <v>18</v>
      </c>
      <c r="AJ9" s="70" t="s">
        <v>129</v>
      </c>
      <c r="AK9" s="70" t="s">
        <v>130</v>
      </c>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row>
    <row r="10" spans="1:137" ht="12" outlineLevel="1" thickBot="1" x14ac:dyDescent="0.25">
      <c r="A10" s="13"/>
      <c r="B10" s="14" t="s">
        <v>19</v>
      </c>
      <c r="C10" s="16" t="s">
        <v>20</v>
      </c>
      <c r="D10" s="16" t="s">
        <v>21</v>
      </c>
      <c r="E10" s="16" t="s">
        <v>22</v>
      </c>
      <c r="F10" s="16" t="s">
        <v>23</v>
      </c>
      <c r="G10" s="16" t="s">
        <v>24</v>
      </c>
      <c r="H10" s="16" t="s">
        <v>25</v>
      </c>
      <c r="I10" s="16" t="s">
        <v>26</v>
      </c>
      <c r="AJ10" s="70">
        <v>7</v>
      </c>
      <c r="AK10" s="70">
        <f>CHOOSE(AJ10,0,0.25,0.5,0.68,0.8,0.9,0.95,0.98,0.99,0.997,0.999)</f>
        <v>0.95</v>
      </c>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row>
    <row r="11" spans="1:137" outlineLevel="1" x14ac:dyDescent="0.2">
      <c r="B11" s="18">
        <f xml:space="preserve"> 1 - $C$25 / $C$26</f>
        <v>0.39706337257992685</v>
      </c>
      <c r="C11" s="18">
        <f xml:space="preserve"> MAX(0,1 - ($C$25 + 2*($B$24+1))/$C$26)</f>
        <v>0.36820114332786458</v>
      </c>
      <c r="D11" s="19">
        <v>0.37297661766221435</v>
      </c>
      <c r="E11" s="19">
        <v>0.49</v>
      </c>
      <c r="F11" s="20">
        <v>100</v>
      </c>
      <c r="G11" s="21">
        <f>$AK$47</f>
        <v>0.88615446178471402</v>
      </c>
      <c r="H11" s="18">
        <f>_xlfn.NORM.S.INV(1-(1-I11)/2)</f>
        <v>1.9599639845400536</v>
      </c>
      <c r="I11" s="22">
        <f>$AK$10</f>
        <v>0.95</v>
      </c>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row>
    <row r="12" spans="1:137" x14ac:dyDescent="0.2">
      <c r="A12" s="85"/>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row>
    <row r="13" spans="1:137" x14ac:dyDescent="0.2">
      <c r="A13" s="12" t="s">
        <v>27</v>
      </c>
      <c r="AJ13" s="70" t="s">
        <v>36</v>
      </c>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row>
    <row r="14" spans="1:137" ht="12" outlineLevel="1" thickBot="1" x14ac:dyDescent="0.25">
      <c r="A14" s="27" t="s">
        <v>28</v>
      </c>
      <c r="B14" s="16" t="s">
        <v>29</v>
      </c>
      <c r="C14" s="16" t="s">
        <v>30</v>
      </c>
      <c r="D14" s="16" t="s">
        <v>31</v>
      </c>
      <c r="E14" s="16" t="s">
        <v>32</v>
      </c>
      <c r="F14" s="16" t="str">
        <f>IF($I$11&gt;99%,("Lower"&amp;TEXT($I$11,"0.0%")),("Lower"&amp;TEXT($I$11,"0%")))</f>
        <v>Lower95%</v>
      </c>
      <c r="G14" s="16" t="str">
        <f>IF($I$11&gt;99%,("Upper"&amp;TEXT($I$11,"0.0%")),("Upper"&amp;TEXT($I$11,"0%")))</f>
        <v>Upper95%</v>
      </c>
      <c r="H14" s="16" t="s">
        <v>34</v>
      </c>
      <c r="I14" s="16" t="s">
        <v>33</v>
      </c>
      <c r="AJ14" s="70" t="s">
        <v>3</v>
      </c>
      <c r="AK14" s="70" t="s">
        <v>35</v>
      </c>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row>
    <row r="15" spans="1:137" outlineLevel="1" x14ac:dyDescent="0.2">
      <c r="A15" s="24" t="s">
        <v>35</v>
      </c>
      <c r="B15" s="15">
        <v>-5.5802269909767643</v>
      </c>
      <c r="C15" s="15">
        <v>1.1063141414419186</v>
      </c>
      <c r="D15" s="15">
        <f>B15 / C15</f>
        <v>-5.0439805313378301</v>
      </c>
      <c r="E15" s="15">
        <f>2*(1-_xlfn.NORM.S.DIST(ABS(B15)/C15,1))</f>
        <v>4.559457116304344E-7</v>
      </c>
      <c r="F15" s="15">
        <f>B15 - $H$11 * C15</f>
        <v>-7.7485628637902755</v>
      </c>
      <c r="G15" s="15">
        <f>B15 + $H$11 * C15</f>
        <v>-3.4118911181632532</v>
      </c>
      <c r="H15" s="15"/>
      <c r="I15" s="15"/>
      <c r="AJ15" s="70">
        <v>4.4247337386384717E-3</v>
      </c>
      <c r="AK15" s="70">
        <v>-7.1317544924481183E-2</v>
      </c>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row>
    <row r="16" spans="1:137" outlineLevel="1" x14ac:dyDescent="0.2">
      <c r="A16" s="24" t="s">
        <v>3</v>
      </c>
      <c r="B16" s="15">
        <v>0.34146866550341787</v>
      </c>
      <c r="C16" s="15">
        <v>6.6518672105195187E-2</v>
      </c>
      <c r="D16" s="15">
        <f>B16 / C16</f>
        <v>5.1334257689841758</v>
      </c>
      <c r="E16" s="15">
        <f>2*(1-_xlfn.NORM.S.DIST(ABS(B16)/C16,1))</f>
        <v>2.8451527533945864E-7</v>
      </c>
      <c r="F16" s="15">
        <f>B16 - $H$11 * C16</f>
        <v>0.2110944638778062</v>
      </c>
      <c r="G16" s="15">
        <f>B16 + $H$11 * C16</f>
        <v>0.47184286712902956</v>
      </c>
      <c r="H16" s="15">
        <v>1</v>
      </c>
      <c r="I16" s="15">
        <f>(B16*6.58770472435987)/(PI()/SQRT(3))</f>
        <v>1.2402114507893534</v>
      </c>
      <c r="AJ16" s="70">
        <v>-7.1317544924481183E-2</v>
      </c>
      <c r="AK16" s="70">
        <v>1.2239309795543696</v>
      </c>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row>
    <row r="17" spans="1:137" x14ac:dyDescent="0.2">
      <c r="A17" s="88"/>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row>
    <row r="18" spans="1:137" x14ac:dyDescent="0.2">
      <c r="A18" s="89" t="s">
        <v>37</v>
      </c>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row>
    <row r="19" spans="1:137" ht="12" outlineLevel="1" thickBot="1" x14ac:dyDescent="0.25">
      <c r="A19" s="27" t="s">
        <v>28</v>
      </c>
      <c r="B19" s="14" t="s">
        <v>38</v>
      </c>
      <c r="C19" s="14" t="s">
        <v>39</v>
      </c>
      <c r="D19" s="14" t="str">
        <f>IF($I$10&gt;99%,("Lower"&amp;TEXT($I$11,"0.0%")),("Lower"&amp;TEXT($I$11,"0%")))</f>
        <v>Lower95.0%</v>
      </c>
      <c r="E19" s="14" t="str">
        <f>IF($I$10&gt;99%,("Upper"&amp;TEXT($I$11,"0.0%")),("Upper"&amp;TEXT($I$11,"0%")))</f>
        <v>Upper95.0%</v>
      </c>
      <c r="F19" s="27" t="s">
        <v>40</v>
      </c>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row>
    <row r="20" spans="1:137" outlineLevel="1" x14ac:dyDescent="0.2">
      <c r="A20" s="24" t="s">
        <v>3</v>
      </c>
      <c r="B20" s="15">
        <f>EXP(B16)</f>
        <v>1.4070125045867967</v>
      </c>
      <c r="C20" s="15">
        <f>EXP(C16*$H$11)</f>
        <v>1.1392546145001803</v>
      </c>
      <c r="D20" s="15">
        <f>EXP(F16)</f>
        <v>1.2350290151812011</v>
      </c>
      <c r="E20" s="15">
        <f>EXP(G16)</f>
        <v>1.6029454885099643</v>
      </c>
      <c r="F20" s="2">
        <f>EXP(I16)</f>
        <v>3.4563442342156656</v>
      </c>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row>
    <row r="21" spans="1:137" x14ac:dyDescent="0.2">
      <c r="A21" s="85"/>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row>
    <row r="22" spans="1:137" x14ac:dyDescent="0.2">
      <c r="A22" s="12" t="s">
        <v>41</v>
      </c>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row>
    <row r="23" spans="1:137" ht="12" hidden="1" outlineLevel="1" thickBot="1" x14ac:dyDescent="0.25">
      <c r="A23" s="27" t="s">
        <v>42</v>
      </c>
      <c r="B23" s="16" t="s">
        <v>43</v>
      </c>
      <c r="C23" s="16" t="s">
        <v>44</v>
      </c>
      <c r="D23" s="13"/>
      <c r="E23" s="16" t="s">
        <v>32</v>
      </c>
      <c r="F23" s="16" t="s">
        <v>45</v>
      </c>
      <c r="G23" s="16" t="s">
        <v>24</v>
      </c>
      <c r="H23" s="13"/>
      <c r="I23" s="16" t="s">
        <v>46</v>
      </c>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row>
    <row r="24" spans="1:137" hidden="1" outlineLevel="1" x14ac:dyDescent="0.2">
      <c r="A24" s="24" t="s">
        <v>47</v>
      </c>
      <c r="B24" s="20">
        <v>1</v>
      </c>
      <c r="C24" s="19">
        <f>C26 - C25</f>
        <v>55.028787847571564</v>
      </c>
      <c r="D24" s="6" t="s">
        <v>48</v>
      </c>
      <c r="E24" s="19">
        <f>_xlfn.CHISQ.DIST.RT(C24,B24)</f>
        <v>1.1877731332208385E-13</v>
      </c>
      <c r="F24" s="19">
        <f>C25+2*(1+B24)</f>
        <v>87.560645597324068</v>
      </c>
      <c r="G24" s="21">
        <f>$AK$47</f>
        <v>0.88615446178471402</v>
      </c>
      <c r="H24" s="19" t="s">
        <v>49</v>
      </c>
      <c r="I24" s="19">
        <f>1-C25/C26</f>
        <v>0.39706337257992685</v>
      </c>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row>
    <row r="25" spans="1:137" hidden="1" outlineLevel="1" x14ac:dyDescent="0.2">
      <c r="A25" s="24" t="s">
        <v>50</v>
      </c>
      <c r="B25" s="20">
        <v>98</v>
      </c>
      <c r="C25" s="19">
        <v>83.560645597324068</v>
      </c>
      <c r="D25" s="6" t="s">
        <v>51</v>
      </c>
      <c r="E25" s="19"/>
      <c r="F25" s="19"/>
      <c r="G25" s="19"/>
      <c r="H25" s="19" t="s">
        <v>52</v>
      </c>
      <c r="I25" s="19">
        <f>1-EXP(((C25/2)-(C26/2))*(2/$F$11))</f>
        <v>0.42321625714670996</v>
      </c>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row>
    <row r="26" spans="1:137" hidden="1" outlineLevel="1" x14ac:dyDescent="0.2">
      <c r="A26" s="24" t="s">
        <v>53</v>
      </c>
      <c r="B26" s="20">
        <v>99</v>
      </c>
      <c r="C26" s="19">
        <f>-2*(($F$11*(1-$E$11))*LN(1-$E$11)+$F$11*$E$11*LN($E$11))</f>
        <v>138.58943344489563</v>
      </c>
      <c r="D26" s="6" t="s">
        <v>54</v>
      </c>
      <c r="E26" s="19"/>
      <c r="F26" s="19"/>
      <c r="G26" s="19"/>
      <c r="H26" s="19" t="s">
        <v>55</v>
      </c>
      <c r="I26" s="19">
        <f xml:space="preserve"> I25/(1-(($E$11^$E$11)*((1-$E$11)^(1-$E$11)))^2)</f>
        <v>0.56436361141488067</v>
      </c>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row>
    <row r="27" spans="1:137" collapsed="1" x14ac:dyDescent="0.2">
      <c r="A27" s="85"/>
      <c r="B27" s="17"/>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row>
    <row r="28" spans="1:137" x14ac:dyDescent="0.2">
      <c r="A28" s="12" t="s">
        <v>56</v>
      </c>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row>
    <row r="29" spans="1:137" ht="12" hidden="1" outlineLevel="1" thickBot="1" x14ac:dyDescent="0.25">
      <c r="A29" s="29" t="s">
        <v>28</v>
      </c>
      <c r="B29" s="13" t="s">
        <v>57</v>
      </c>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row>
    <row r="30" spans="1:137" ht="12" hidden="1" outlineLevel="1" thickBot="1" x14ac:dyDescent="0.25">
      <c r="A30" s="28" t="s">
        <v>35</v>
      </c>
      <c r="B30" s="30">
        <v>1</v>
      </c>
      <c r="C30" s="31" t="s">
        <v>58</v>
      </c>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row>
    <row r="31" spans="1:137" hidden="1" outlineLevel="1" x14ac:dyDescent="0.2">
      <c r="A31" s="28" t="s">
        <v>3</v>
      </c>
      <c r="B31" s="30">
        <v>-0.96911284439444501</v>
      </c>
      <c r="C31" s="30">
        <v>1</v>
      </c>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row>
    <row r="32" spans="1:137" collapsed="1" x14ac:dyDescent="0.2">
      <c r="A32" s="85"/>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row>
    <row r="33" spans="1:137" x14ac:dyDescent="0.2">
      <c r="A33" s="12" t="s">
        <v>59</v>
      </c>
      <c r="AJ33" s="70" t="s">
        <v>101</v>
      </c>
      <c r="AK33" s="70"/>
      <c r="AL33" s="70"/>
      <c r="AM33" s="70">
        <v>10</v>
      </c>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row>
    <row r="34" spans="1:137" outlineLevel="1" x14ac:dyDescent="0.2">
      <c r="A34" s="10"/>
      <c r="B34" s="32"/>
      <c r="C34" s="38" t="str">
        <f>"Cutoff value for prediction of "&amp;$I$2&amp;":"</f>
        <v>Cutoff value for prediction of Yes:</v>
      </c>
      <c r="D34" s="39">
        <f>$AM$33/20</f>
        <v>0.5</v>
      </c>
      <c r="E34" s="38" t="s">
        <v>60</v>
      </c>
      <c r="F34" s="40">
        <v>0.37297661766221435</v>
      </c>
      <c r="G34" s="32"/>
      <c r="H34" s="32"/>
      <c r="I34" s="33"/>
      <c r="AJ34" s="70" t="s">
        <v>102</v>
      </c>
      <c r="AK34" s="70">
        <v>-9.9999999999999995E-8</v>
      </c>
      <c r="AL34" s="70">
        <v>9.9999000000000008E-3</v>
      </c>
      <c r="AM34" s="70">
        <v>1.9999900000000001E-2</v>
      </c>
      <c r="AN34" s="70">
        <v>2.9999900000000003E-2</v>
      </c>
      <c r="AO34" s="70">
        <v>3.9999900000000005E-2</v>
      </c>
      <c r="AP34" s="70">
        <v>4.9999900000000007E-2</v>
      </c>
      <c r="AQ34" s="70">
        <v>5.9999900000000009E-2</v>
      </c>
      <c r="AR34" s="70">
        <v>6.9999900000000004E-2</v>
      </c>
      <c r="AS34" s="70">
        <v>7.9999899999999999E-2</v>
      </c>
      <c r="AT34" s="70">
        <v>8.9999899999999994E-2</v>
      </c>
      <c r="AU34" s="70">
        <v>9.9999899999999989E-2</v>
      </c>
      <c r="AV34" s="70">
        <v>0.10999989999999998</v>
      </c>
      <c r="AW34" s="70">
        <v>0.11999989999999998</v>
      </c>
      <c r="AX34" s="70">
        <v>0.12999989999999997</v>
      </c>
      <c r="AY34" s="70">
        <v>0.13999989999999998</v>
      </c>
      <c r="AZ34" s="70">
        <v>0.14999989999999999</v>
      </c>
      <c r="BA34" s="70">
        <v>0.1599999</v>
      </c>
      <c r="BB34" s="70">
        <v>0.16999990000000001</v>
      </c>
      <c r="BC34" s="70">
        <v>0.17999990000000002</v>
      </c>
      <c r="BD34" s="70">
        <v>0.18999990000000003</v>
      </c>
      <c r="BE34" s="70">
        <v>0.19999990000000004</v>
      </c>
      <c r="BF34" s="70">
        <v>0.20999990000000004</v>
      </c>
      <c r="BG34" s="70">
        <v>0.21999990000000005</v>
      </c>
      <c r="BH34" s="70">
        <v>0.22999990000000006</v>
      </c>
      <c r="BI34" s="70">
        <v>0.23999990000000007</v>
      </c>
      <c r="BJ34" s="70">
        <v>0.24999990000000008</v>
      </c>
      <c r="BK34" s="70">
        <v>0.25999990000000006</v>
      </c>
      <c r="BL34" s="70">
        <v>0.26999990000000007</v>
      </c>
      <c r="BM34" s="70">
        <v>0.27999990000000008</v>
      </c>
      <c r="BN34" s="70">
        <v>0.28999990000000009</v>
      </c>
      <c r="BO34" s="70">
        <v>0.2999999000000001</v>
      </c>
      <c r="BP34" s="70">
        <v>0.30999990000000011</v>
      </c>
      <c r="BQ34" s="70">
        <v>0.31999990000000011</v>
      </c>
      <c r="BR34" s="70">
        <v>0.32999990000000012</v>
      </c>
      <c r="BS34" s="70">
        <v>0.33999990000000013</v>
      </c>
      <c r="BT34" s="70">
        <v>0.34999990000000014</v>
      </c>
      <c r="BU34" s="70">
        <v>0.35999990000000015</v>
      </c>
      <c r="BV34" s="70">
        <v>0.36999990000000016</v>
      </c>
      <c r="BW34" s="70">
        <v>0.37999990000000017</v>
      </c>
      <c r="BX34" s="70">
        <v>0.38999990000000018</v>
      </c>
      <c r="BY34" s="70">
        <v>0.39999990000000019</v>
      </c>
      <c r="BZ34" s="70">
        <v>0.40999990000000019</v>
      </c>
      <c r="CA34" s="70">
        <v>0.4199999000000002</v>
      </c>
      <c r="CB34" s="70">
        <v>0.42999990000000021</v>
      </c>
      <c r="CC34" s="70">
        <v>0.43999990000000022</v>
      </c>
      <c r="CD34" s="70">
        <v>0.44999990000000023</v>
      </c>
      <c r="CE34" s="70">
        <v>0.45999990000000024</v>
      </c>
      <c r="CF34" s="70">
        <v>0.46999990000000025</v>
      </c>
      <c r="CG34" s="70">
        <v>0.47999990000000026</v>
      </c>
      <c r="CH34" s="70">
        <v>0.48999990000000027</v>
      </c>
      <c r="CI34" s="70">
        <v>0.49999990000000027</v>
      </c>
      <c r="CJ34" s="70">
        <v>0.50999990000000028</v>
      </c>
      <c r="CK34" s="70">
        <v>0.51999990000000029</v>
      </c>
      <c r="CL34" s="70">
        <v>0.5299999000000003</v>
      </c>
      <c r="CM34" s="70">
        <v>0.53999990000000031</v>
      </c>
      <c r="CN34" s="70">
        <v>0.54999990000000032</v>
      </c>
      <c r="CO34" s="70">
        <v>0.55999990000000033</v>
      </c>
      <c r="CP34" s="70">
        <v>0.56999990000000034</v>
      </c>
      <c r="CQ34" s="70">
        <v>0.57999990000000035</v>
      </c>
      <c r="CR34" s="70">
        <v>0.58999990000000035</v>
      </c>
      <c r="CS34" s="70">
        <v>0.59999990000000036</v>
      </c>
      <c r="CT34" s="70">
        <v>0.60999990000000037</v>
      </c>
      <c r="CU34" s="70">
        <v>0.61999990000000038</v>
      </c>
      <c r="CV34" s="70">
        <v>0.62999990000000039</v>
      </c>
      <c r="CW34" s="70">
        <v>0.6399999000000004</v>
      </c>
      <c r="CX34" s="70">
        <v>0.64999990000000041</v>
      </c>
      <c r="CY34" s="70">
        <v>0.65999990000000042</v>
      </c>
      <c r="CZ34" s="70">
        <v>0.66999990000000043</v>
      </c>
      <c r="DA34" s="70">
        <v>0.67999990000000043</v>
      </c>
      <c r="DB34" s="70">
        <v>0.68999990000000044</v>
      </c>
      <c r="DC34" s="70">
        <v>0.69999990000000045</v>
      </c>
      <c r="DD34" s="70">
        <v>0.70999990000000046</v>
      </c>
      <c r="DE34" s="70">
        <v>0.71999990000000047</v>
      </c>
      <c r="DF34" s="70">
        <v>0.72999990000000048</v>
      </c>
      <c r="DG34" s="70">
        <v>0.73999990000000049</v>
      </c>
      <c r="DH34" s="70">
        <v>0.7499999000000005</v>
      </c>
      <c r="DI34" s="70">
        <v>0.75999990000000051</v>
      </c>
      <c r="DJ34" s="70">
        <v>0.76999990000000051</v>
      </c>
      <c r="DK34" s="70">
        <v>0.77999990000000052</v>
      </c>
      <c r="DL34" s="70">
        <v>0.78999990000000053</v>
      </c>
      <c r="DM34" s="70">
        <v>0.79999990000000054</v>
      </c>
      <c r="DN34" s="70">
        <v>0.80999990000000055</v>
      </c>
      <c r="DO34" s="70">
        <v>0.81999990000000056</v>
      </c>
      <c r="DP34" s="70">
        <v>0.82999990000000057</v>
      </c>
      <c r="DQ34" s="70">
        <v>0.83999990000000058</v>
      </c>
      <c r="DR34" s="70">
        <v>0.84999990000000059</v>
      </c>
      <c r="DS34" s="70">
        <v>0.85999990000000059</v>
      </c>
      <c r="DT34" s="70">
        <v>0.8699999000000006</v>
      </c>
      <c r="DU34" s="70">
        <v>0.87999990000000061</v>
      </c>
      <c r="DV34" s="70">
        <v>0.88999990000000062</v>
      </c>
      <c r="DW34" s="70">
        <v>0.89999990000000063</v>
      </c>
      <c r="DX34" s="70">
        <v>0.90999990000000064</v>
      </c>
      <c r="DY34" s="70">
        <v>0.91999990000000065</v>
      </c>
      <c r="DZ34" s="70">
        <v>0.92999990000000066</v>
      </c>
      <c r="EA34" s="70">
        <v>0.93999990000000067</v>
      </c>
      <c r="EB34" s="70">
        <v>0.94999990000000067</v>
      </c>
      <c r="EC34" s="70">
        <v>0.95999990000000068</v>
      </c>
      <c r="ED34" s="70">
        <v>0.96999990000000069</v>
      </c>
      <c r="EE34" s="70">
        <v>0.9799999000000007</v>
      </c>
      <c r="EF34" s="70">
        <v>0.98999990000000071</v>
      </c>
      <c r="EG34" s="70">
        <v>0.99999990000000072</v>
      </c>
    </row>
    <row r="35" spans="1:137" outlineLevel="1" x14ac:dyDescent="0.2">
      <c r="A35" s="9"/>
      <c r="B35" s="41" t="s">
        <v>61</v>
      </c>
      <c r="C35" s="34"/>
      <c r="D35" s="34"/>
      <c r="E35" s="34"/>
      <c r="F35" s="34"/>
      <c r="G35" s="41" t="s">
        <v>61</v>
      </c>
      <c r="H35" s="34"/>
      <c r="I35" s="35"/>
      <c r="AJ35" s="82" t="s">
        <v>103</v>
      </c>
      <c r="AK35" s="70">
        <v>100</v>
      </c>
      <c r="AL35" s="70">
        <v>100</v>
      </c>
      <c r="AM35" s="70">
        <v>95</v>
      </c>
      <c r="AN35" s="70">
        <v>92</v>
      </c>
      <c r="AO35" s="70">
        <v>91</v>
      </c>
      <c r="AP35" s="70">
        <v>91</v>
      </c>
      <c r="AQ35" s="70">
        <v>90</v>
      </c>
      <c r="AR35" s="70">
        <v>88</v>
      </c>
      <c r="AS35" s="70">
        <v>86</v>
      </c>
      <c r="AT35" s="70">
        <v>83</v>
      </c>
      <c r="AU35" s="70">
        <v>81</v>
      </c>
      <c r="AV35" s="70">
        <v>81</v>
      </c>
      <c r="AW35" s="70">
        <v>79</v>
      </c>
      <c r="AX35" s="70">
        <v>79</v>
      </c>
      <c r="AY35" s="70">
        <v>77</v>
      </c>
      <c r="AZ35" s="70">
        <v>75</v>
      </c>
      <c r="BA35" s="70">
        <v>75</v>
      </c>
      <c r="BB35" s="70">
        <v>74</v>
      </c>
      <c r="BC35" s="70">
        <v>73</v>
      </c>
      <c r="BD35" s="70">
        <v>73</v>
      </c>
      <c r="BE35" s="70">
        <v>72</v>
      </c>
      <c r="BF35" s="70">
        <v>70</v>
      </c>
      <c r="BG35" s="70">
        <v>70</v>
      </c>
      <c r="BH35" s="70">
        <v>68</v>
      </c>
      <c r="BI35" s="70">
        <v>68</v>
      </c>
      <c r="BJ35" s="70">
        <v>67</v>
      </c>
      <c r="BK35" s="70">
        <v>66</v>
      </c>
      <c r="BL35" s="70">
        <v>63</v>
      </c>
      <c r="BM35" s="70">
        <v>63</v>
      </c>
      <c r="BN35" s="70">
        <v>62</v>
      </c>
      <c r="BO35" s="70">
        <v>60</v>
      </c>
      <c r="BP35" s="70">
        <v>60</v>
      </c>
      <c r="BQ35" s="70">
        <v>60</v>
      </c>
      <c r="BR35" s="70">
        <v>60</v>
      </c>
      <c r="BS35" s="70">
        <v>59</v>
      </c>
      <c r="BT35" s="70">
        <v>59</v>
      </c>
      <c r="BU35" s="70">
        <v>59</v>
      </c>
      <c r="BV35" s="70">
        <v>57</v>
      </c>
      <c r="BW35" s="70">
        <v>57</v>
      </c>
      <c r="BX35" s="70">
        <v>56</v>
      </c>
      <c r="BY35" s="70">
        <v>54</v>
      </c>
      <c r="BZ35" s="70">
        <v>52</v>
      </c>
      <c r="CA35" s="70">
        <v>52</v>
      </c>
      <c r="CB35" s="70">
        <v>51</v>
      </c>
      <c r="CC35" s="70">
        <v>49</v>
      </c>
      <c r="CD35" s="70">
        <v>49</v>
      </c>
      <c r="CE35" s="70">
        <v>49</v>
      </c>
      <c r="CF35" s="70">
        <v>49</v>
      </c>
      <c r="CG35" s="70">
        <v>48</v>
      </c>
      <c r="CH35" s="70">
        <v>47</v>
      </c>
      <c r="CI35" s="70">
        <v>46</v>
      </c>
      <c r="CJ35" s="70">
        <v>46</v>
      </c>
      <c r="CK35" s="70">
        <v>45</v>
      </c>
      <c r="CL35" s="70">
        <v>44</v>
      </c>
      <c r="CM35" s="70">
        <v>44</v>
      </c>
      <c r="CN35" s="70">
        <v>43</v>
      </c>
      <c r="CO35" s="70">
        <v>43</v>
      </c>
      <c r="CP35" s="70">
        <v>43</v>
      </c>
      <c r="CQ35" s="70">
        <v>42</v>
      </c>
      <c r="CR35" s="70">
        <v>41</v>
      </c>
      <c r="CS35" s="70">
        <v>41</v>
      </c>
      <c r="CT35" s="70">
        <v>41</v>
      </c>
      <c r="CU35" s="70">
        <v>41</v>
      </c>
      <c r="CV35" s="70">
        <v>41</v>
      </c>
      <c r="CW35" s="70">
        <v>40</v>
      </c>
      <c r="CX35" s="70">
        <v>40</v>
      </c>
      <c r="CY35" s="70">
        <v>40</v>
      </c>
      <c r="CZ35" s="70">
        <v>40</v>
      </c>
      <c r="DA35" s="70">
        <v>37</v>
      </c>
      <c r="DB35" s="70">
        <v>37</v>
      </c>
      <c r="DC35" s="70">
        <v>36</v>
      </c>
      <c r="DD35" s="70">
        <v>35</v>
      </c>
      <c r="DE35" s="70">
        <v>34</v>
      </c>
      <c r="DF35" s="70">
        <v>33</v>
      </c>
      <c r="DG35" s="70">
        <v>32</v>
      </c>
      <c r="DH35" s="70">
        <v>31</v>
      </c>
      <c r="DI35" s="70">
        <v>31</v>
      </c>
      <c r="DJ35" s="70">
        <v>31</v>
      </c>
      <c r="DK35" s="70">
        <v>31</v>
      </c>
      <c r="DL35" s="70">
        <v>31</v>
      </c>
      <c r="DM35" s="70">
        <v>30</v>
      </c>
      <c r="DN35" s="70">
        <v>30</v>
      </c>
      <c r="DO35" s="70">
        <v>29</v>
      </c>
      <c r="DP35" s="70">
        <v>27</v>
      </c>
      <c r="DQ35" s="70">
        <v>24</v>
      </c>
      <c r="DR35" s="70">
        <v>23</v>
      </c>
      <c r="DS35" s="70">
        <v>22</v>
      </c>
      <c r="DT35" s="70">
        <v>20</v>
      </c>
      <c r="DU35" s="70">
        <v>19</v>
      </c>
      <c r="DV35" s="70">
        <v>18</v>
      </c>
      <c r="DW35" s="70">
        <v>18</v>
      </c>
      <c r="DX35" s="70">
        <v>18</v>
      </c>
      <c r="DY35" s="70">
        <v>15</v>
      </c>
      <c r="DZ35" s="70">
        <v>14</v>
      </c>
      <c r="EA35" s="70">
        <v>12</v>
      </c>
      <c r="EB35" s="70">
        <v>12</v>
      </c>
      <c r="EC35" s="70">
        <v>11</v>
      </c>
      <c r="ED35" s="70">
        <v>6</v>
      </c>
      <c r="EE35" s="70">
        <v>5</v>
      </c>
      <c r="EF35" s="70">
        <v>1</v>
      </c>
      <c r="EG35" s="70">
        <v>0</v>
      </c>
    </row>
    <row r="36" spans="1:137" outlineLevel="1" x14ac:dyDescent="0.2">
      <c r="A36" s="42" t="s">
        <v>62</v>
      </c>
      <c r="B36" s="34" t="str">
        <f>"# "&amp;$H$2</f>
        <v># No</v>
      </c>
      <c r="C36" s="34" t="str">
        <f>"# "&amp;$I$2</f>
        <v># Yes</v>
      </c>
      <c r="D36" s="34" t="s">
        <v>63</v>
      </c>
      <c r="E36" s="34"/>
      <c r="F36" s="41" t="s">
        <v>64</v>
      </c>
      <c r="G36" s="34" t="str">
        <f>"% "&amp;$H$2</f>
        <v>% No</v>
      </c>
      <c r="H36" s="34" t="str">
        <f>"% "&amp;$I$2</f>
        <v>% Yes</v>
      </c>
      <c r="I36" s="35" t="s">
        <v>63</v>
      </c>
      <c r="AJ36" s="82" t="s">
        <v>104</v>
      </c>
      <c r="AK36" s="70">
        <v>49</v>
      </c>
      <c r="AL36" s="70">
        <v>49</v>
      </c>
      <c r="AM36" s="70">
        <v>49</v>
      </c>
      <c r="AN36" s="70">
        <v>49</v>
      </c>
      <c r="AO36" s="70">
        <v>49</v>
      </c>
      <c r="AP36" s="70">
        <v>49</v>
      </c>
      <c r="AQ36" s="70">
        <v>49</v>
      </c>
      <c r="AR36" s="70">
        <v>49</v>
      </c>
      <c r="AS36" s="70">
        <v>49</v>
      </c>
      <c r="AT36" s="70">
        <v>49</v>
      </c>
      <c r="AU36" s="70">
        <v>49</v>
      </c>
      <c r="AV36" s="70">
        <v>49</v>
      </c>
      <c r="AW36" s="70">
        <v>48</v>
      </c>
      <c r="AX36" s="70">
        <v>48</v>
      </c>
      <c r="AY36" s="70">
        <v>48</v>
      </c>
      <c r="AZ36" s="70">
        <v>48</v>
      </c>
      <c r="BA36" s="70">
        <v>48</v>
      </c>
      <c r="BB36" s="70">
        <v>48</v>
      </c>
      <c r="BC36" s="70">
        <v>47</v>
      </c>
      <c r="BD36" s="70">
        <v>47</v>
      </c>
      <c r="BE36" s="70">
        <v>46</v>
      </c>
      <c r="BF36" s="70">
        <v>46</v>
      </c>
      <c r="BG36" s="70">
        <v>46</v>
      </c>
      <c r="BH36" s="70">
        <v>46</v>
      </c>
      <c r="BI36" s="70">
        <v>46</v>
      </c>
      <c r="BJ36" s="70">
        <v>46</v>
      </c>
      <c r="BK36" s="70">
        <v>46</v>
      </c>
      <c r="BL36" s="70">
        <v>45</v>
      </c>
      <c r="BM36" s="70">
        <v>45</v>
      </c>
      <c r="BN36" s="70">
        <v>45</v>
      </c>
      <c r="BO36" s="70">
        <v>44</v>
      </c>
      <c r="BP36" s="70">
        <v>44</v>
      </c>
      <c r="BQ36" s="70">
        <v>44</v>
      </c>
      <c r="BR36" s="70">
        <v>44</v>
      </c>
      <c r="BS36" s="70">
        <v>44</v>
      </c>
      <c r="BT36" s="70">
        <v>44</v>
      </c>
      <c r="BU36" s="70">
        <v>44</v>
      </c>
      <c r="BV36" s="70">
        <v>42</v>
      </c>
      <c r="BW36" s="70">
        <v>42</v>
      </c>
      <c r="BX36" s="70">
        <v>41</v>
      </c>
      <c r="BY36" s="70">
        <v>39</v>
      </c>
      <c r="BZ36" s="70">
        <v>39</v>
      </c>
      <c r="CA36" s="70">
        <v>39</v>
      </c>
      <c r="CB36" s="70">
        <v>39</v>
      </c>
      <c r="CC36" s="70">
        <v>38</v>
      </c>
      <c r="CD36" s="70">
        <v>38</v>
      </c>
      <c r="CE36" s="70">
        <v>38</v>
      </c>
      <c r="CF36" s="70">
        <v>38</v>
      </c>
      <c r="CG36" s="70">
        <v>37</v>
      </c>
      <c r="CH36" s="70">
        <v>37</v>
      </c>
      <c r="CI36" s="70">
        <v>36</v>
      </c>
      <c r="CJ36" s="70">
        <v>36</v>
      </c>
      <c r="CK36" s="70">
        <v>36</v>
      </c>
      <c r="CL36" s="70">
        <v>36</v>
      </c>
      <c r="CM36" s="70">
        <v>36</v>
      </c>
      <c r="CN36" s="70">
        <v>35</v>
      </c>
      <c r="CO36" s="70">
        <v>35</v>
      </c>
      <c r="CP36" s="70">
        <v>35</v>
      </c>
      <c r="CQ36" s="70">
        <v>35</v>
      </c>
      <c r="CR36" s="70">
        <v>34</v>
      </c>
      <c r="CS36" s="70">
        <v>34</v>
      </c>
      <c r="CT36" s="70">
        <v>34</v>
      </c>
      <c r="CU36" s="70">
        <v>34</v>
      </c>
      <c r="CV36" s="70">
        <v>34</v>
      </c>
      <c r="CW36" s="70">
        <v>33</v>
      </c>
      <c r="CX36" s="70">
        <v>33</v>
      </c>
      <c r="CY36" s="70">
        <v>33</v>
      </c>
      <c r="CZ36" s="70">
        <v>33</v>
      </c>
      <c r="DA36" s="70">
        <v>32</v>
      </c>
      <c r="DB36" s="70">
        <v>32</v>
      </c>
      <c r="DC36" s="70">
        <v>32</v>
      </c>
      <c r="DD36" s="70">
        <v>31</v>
      </c>
      <c r="DE36" s="70">
        <v>30</v>
      </c>
      <c r="DF36" s="70">
        <v>30</v>
      </c>
      <c r="DG36" s="70">
        <v>29</v>
      </c>
      <c r="DH36" s="70">
        <v>28</v>
      </c>
      <c r="DI36" s="70">
        <v>28</v>
      </c>
      <c r="DJ36" s="70">
        <v>28</v>
      </c>
      <c r="DK36" s="70">
        <v>28</v>
      </c>
      <c r="DL36" s="70">
        <v>28</v>
      </c>
      <c r="DM36" s="70">
        <v>28</v>
      </c>
      <c r="DN36" s="70">
        <v>28</v>
      </c>
      <c r="DO36" s="70">
        <v>27</v>
      </c>
      <c r="DP36" s="70">
        <v>25</v>
      </c>
      <c r="DQ36" s="70">
        <v>23</v>
      </c>
      <c r="DR36" s="70">
        <v>22</v>
      </c>
      <c r="DS36" s="70">
        <v>21</v>
      </c>
      <c r="DT36" s="70">
        <v>19</v>
      </c>
      <c r="DU36" s="70">
        <v>18</v>
      </c>
      <c r="DV36" s="70">
        <v>17</v>
      </c>
      <c r="DW36" s="70">
        <v>17</v>
      </c>
      <c r="DX36" s="70">
        <v>17</v>
      </c>
      <c r="DY36" s="70">
        <v>15</v>
      </c>
      <c r="DZ36" s="70">
        <v>14</v>
      </c>
      <c r="EA36" s="70">
        <v>12</v>
      </c>
      <c r="EB36" s="70">
        <v>12</v>
      </c>
      <c r="EC36" s="70">
        <v>11</v>
      </c>
      <c r="ED36" s="70">
        <v>6</v>
      </c>
      <c r="EE36" s="70">
        <v>5</v>
      </c>
      <c r="EF36" s="70">
        <v>1</v>
      </c>
      <c r="EG36" s="70">
        <v>0</v>
      </c>
    </row>
    <row r="37" spans="1:137" outlineLevel="1" x14ac:dyDescent="0.2">
      <c r="A37" s="43" t="str">
        <f>"# "&amp;$H$2</f>
        <v># No</v>
      </c>
      <c r="B37" s="48">
        <f>B39-B38</f>
        <v>41</v>
      </c>
      <c r="C37" s="49">
        <f>C39-C38</f>
        <v>10</v>
      </c>
      <c r="D37" s="50">
        <f>D39-D38</f>
        <v>51</v>
      </c>
      <c r="E37" s="34"/>
      <c r="F37" s="44" t="str">
        <f>"% "&amp;$H$2</f>
        <v>% No</v>
      </c>
      <c r="G37" s="53">
        <f>B37/D39</f>
        <v>0.41</v>
      </c>
      <c r="H37" s="54">
        <f>C37/D39</f>
        <v>0.1</v>
      </c>
      <c r="I37" s="55">
        <f>D37/D39</f>
        <v>0.51</v>
      </c>
      <c r="AJ37" s="82" t="s">
        <v>105</v>
      </c>
      <c r="AK37" s="70">
        <v>51</v>
      </c>
      <c r="AL37" s="70">
        <v>51</v>
      </c>
      <c r="AM37" s="70">
        <v>46</v>
      </c>
      <c r="AN37" s="70">
        <v>43</v>
      </c>
      <c r="AO37" s="70">
        <v>42</v>
      </c>
      <c r="AP37" s="70">
        <v>42</v>
      </c>
      <c r="AQ37" s="70">
        <v>41</v>
      </c>
      <c r="AR37" s="70">
        <v>39</v>
      </c>
      <c r="AS37" s="70">
        <v>37</v>
      </c>
      <c r="AT37" s="70">
        <v>34</v>
      </c>
      <c r="AU37" s="70">
        <v>32</v>
      </c>
      <c r="AV37" s="70">
        <v>32</v>
      </c>
      <c r="AW37" s="70">
        <v>31</v>
      </c>
      <c r="AX37" s="70">
        <v>31</v>
      </c>
      <c r="AY37" s="70">
        <v>29</v>
      </c>
      <c r="AZ37" s="70">
        <v>27</v>
      </c>
      <c r="BA37" s="70">
        <v>27</v>
      </c>
      <c r="BB37" s="70">
        <v>26</v>
      </c>
      <c r="BC37" s="70">
        <v>26</v>
      </c>
      <c r="BD37" s="70">
        <v>26</v>
      </c>
      <c r="BE37" s="70">
        <v>26</v>
      </c>
      <c r="BF37" s="70">
        <v>24</v>
      </c>
      <c r="BG37" s="70">
        <v>24</v>
      </c>
      <c r="BH37" s="70">
        <v>22</v>
      </c>
      <c r="BI37" s="70">
        <v>22</v>
      </c>
      <c r="BJ37" s="70">
        <v>21</v>
      </c>
      <c r="BK37" s="70">
        <v>20</v>
      </c>
      <c r="BL37" s="70">
        <v>18</v>
      </c>
      <c r="BM37" s="70">
        <v>18</v>
      </c>
      <c r="BN37" s="70">
        <v>17</v>
      </c>
      <c r="BO37" s="70">
        <v>16</v>
      </c>
      <c r="BP37" s="70">
        <v>16</v>
      </c>
      <c r="BQ37" s="70">
        <v>16</v>
      </c>
      <c r="BR37" s="70">
        <v>16</v>
      </c>
      <c r="BS37" s="70">
        <v>15</v>
      </c>
      <c r="BT37" s="70">
        <v>15</v>
      </c>
      <c r="BU37" s="70">
        <v>15</v>
      </c>
      <c r="BV37" s="70">
        <v>15</v>
      </c>
      <c r="BW37" s="70">
        <v>15</v>
      </c>
      <c r="BX37" s="70">
        <v>15</v>
      </c>
      <c r="BY37" s="70">
        <v>15</v>
      </c>
      <c r="BZ37" s="70">
        <v>13</v>
      </c>
      <c r="CA37" s="70">
        <v>13</v>
      </c>
      <c r="CB37" s="70">
        <v>12</v>
      </c>
      <c r="CC37" s="70">
        <v>11</v>
      </c>
      <c r="CD37" s="70">
        <v>11</v>
      </c>
      <c r="CE37" s="70">
        <v>11</v>
      </c>
      <c r="CF37" s="70">
        <v>11</v>
      </c>
      <c r="CG37" s="70">
        <v>11</v>
      </c>
      <c r="CH37" s="70">
        <v>10</v>
      </c>
      <c r="CI37" s="70">
        <v>10</v>
      </c>
      <c r="CJ37" s="70">
        <v>10</v>
      </c>
      <c r="CK37" s="70">
        <v>9</v>
      </c>
      <c r="CL37" s="70">
        <v>8</v>
      </c>
      <c r="CM37" s="70">
        <v>8</v>
      </c>
      <c r="CN37" s="70">
        <v>8</v>
      </c>
      <c r="CO37" s="70">
        <v>8</v>
      </c>
      <c r="CP37" s="70">
        <v>8</v>
      </c>
      <c r="CQ37" s="70">
        <v>7</v>
      </c>
      <c r="CR37" s="70">
        <v>7</v>
      </c>
      <c r="CS37" s="70">
        <v>7</v>
      </c>
      <c r="CT37" s="70">
        <v>7</v>
      </c>
      <c r="CU37" s="70">
        <v>7</v>
      </c>
      <c r="CV37" s="70">
        <v>7</v>
      </c>
      <c r="CW37" s="70">
        <v>7</v>
      </c>
      <c r="CX37" s="70">
        <v>7</v>
      </c>
      <c r="CY37" s="70">
        <v>7</v>
      </c>
      <c r="CZ37" s="70">
        <v>7</v>
      </c>
      <c r="DA37" s="70">
        <v>5</v>
      </c>
      <c r="DB37" s="70">
        <v>5</v>
      </c>
      <c r="DC37" s="70">
        <v>4</v>
      </c>
      <c r="DD37" s="70">
        <v>4</v>
      </c>
      <c r="DE37" s="70">
        <v>4</v>
      </c>
      <c r="DF37" s="70">
        <v>3</v>
      </c>
      <c r="DG37" s="70">
        <v>3</v>
      </c>
      <c r="DH37" s="70">
        <v>3</v>
      </c>
      <c r="DI37" s="70">
        <v>3</v>
      </c>
      <c r="DJ37" s="70">
        <v>3</v>
      </c>
      <c r="DK37" s="70">
        <v>3</v>
      </c>
      <c r="DL37" s="70">
        <v>3</v>
      </c>
      <c r="DM37" s="70">
        <v>2</v>
      </c>
      <c r="DN37" s="70">
        <v>2</v>
      </c>
      <c r="DO37" s="70">
        <v>2</v>
      </c>
      <c r="DP37" s="70">
        <v>2</v>
      </c>
      <c r="DQ37" s="70">
        <v>1</v>
      </c>
      <c r="DR37" s="70">
        <v>1</v>
      </c>
      <c r="DS37" s="70">
        <v>1</v>
      </c>
      <c r="DT37" s="70">
        <v>1</v>
      </c>
      <c r="DU37" s="70">
        <v>1</v>
      </c>
      <c r="DV37" s="70">
        <v>1</v>
      </c>
      <c r="DW37" s="70">
        <v>1</v>
      </c>
      <c r="DX37" s="70">
        <v>1</v>
      </c>
      <c r="DY37" s="70">
        <v>0</v>
      </c>
      <c r="DZ37" s="70">
        <v>0</v>
      </c>
      <c r="EA37" s="70">
        <v>0</v>
      </c>
      <c r="EB37" s="70">
        <v>0</v>
      </c>
      <c r="EC37" s="70">
        <v>0</v>
      </c>
      <c r="ED37" s="70">
        <v>0</v>
      </c>
      <c r="EE37" s="70">
        <v>0</v>
      </c>
      <c r="EF37" s="70">
        <v>0</v>
      </c>
      <c r="EG37" s="70">
        <v>0</v>
      </c>
    </row>
    <row r="38" spans="1:137" outlineLevel="1" x14ac:dyDescent="0.2">
      <c r="A38" s="43" t="str">
        <f>"# "&amp;$I$2</f>
        <v># Yes</v>
      </c>
      <c r="B38" s="51">
        <f>D38-C38</f>
        <v>13</v>
      </c>
      <c r="C38" s="52">
        <f>INDEX($AK$36:$EG$36,MATCH(D34,$AK$34:$EG$34,1))</f>
        <v>36</v>
      </c>
      <c r="D38" s="50">
        <f>$E$11 * $F$11</f>
        <v>49</v>
      </c>
      <c r="E38" s="34"/>
      <c r="F38" s="44" t="str">
        <f>"% "&amp;$I$2</f>
        <v>% Yes</v>
      </c>
      <c r="G38" s="56">
        <f>B38/D39</f>
        <v>0.13</v>
      </c>
      <c r="H38" s="57">
        <f>C38/D39</f>
        <v>0.36</v>
      </c>
      <c r="I38" s="55">
        <f>D38/D39</f>
        <v>0.49</v>
      </c>
      <c r="AJ38" s="82" t="s">
        <v>106</v>
      </c>
      <c r="AK38" s="70">
        <v>0</v>
      </c>
      <c r="AL38" s="70">
        <v>0</v>
      </c>
      <c r="AM38" s="70">
        <v>5</v>
      </c>
      <c r="AN38" s="70">
        <v>8</v>
      </c>
      <c r="AO38" s="70">
        <v>9</v>
      </c>
      <c r="AP38" s="70">
        <v>9</v>
      </c>
      <c r="AQ38" s="70">
        <v>10</v>
      </c>
      <c r="AR38" s="70">
        <v>12</v>
      </c>
      <c r="AS38" s="70">
        <v>14</v>
      </c>
      <c r="AT38" s="70">
        <v>17</v>
      </c>
      <c r="AU38" s="70">
        <v>19</v>
      </c>
      <c r="AV38" s="70">
        <v>19</v>
      </c>
      <c r="AW38" s="70">
        <v>20</v>
      </c>
      <c r="AX38" s="70">
        <v>20</v>
      </c>
      <c r="AY38" s="70">
        <v>22</v>
      </c>
      <c r="AZ38" s="70">
        <v>24</v>
      </c>
      <c r="BA38" s="70">
        <v>24</v>
      </c>
      <c r="BB38" s="70">
        <v>25</v>
      </c>
      <c r="BC38" s="70">
        <v>25</v>
      </c>
      <c r="BD38" s="70">
        <v>25</v>
      </c>
      <c r="BE38" s="70">
        <v>25</v>
      </c>
      <c r="BF38" s="70">
        <v>27</v>
      </c>
      <c r="BG38" s="70">
        <v>27</v>
      </c>
      <c r="BH38" s="70">
        <v>29</v>
      </c>
      <c r="BI38" s="70">
        <v>29</v>
      </c>
      <c r="BJ38" s="70">
        <v>30</v>
      </c>
      <c r="BK38" s="70">
        <v>31</v>
      </c>
      <c r="BL38" s="70">
        <v>33</v>
      </c>
      <c r="BM38" s="70">
        <v>33</v>
      </c>
      <c r="BN38" s="70">
        <v>34</v>
      </c>
      <c r="BO38" s="70">
        <v>35</v>
      </c>
      <c r="BP38" s="70">
        <v>35</v>
      </c>
      <c r="BQ38" s="70">
        <v>35</v>
      </c>
      <c r="BR38" s="70">
        <v>35</v>
      </c>
      <c r="BS38" s="70">
        <v>36</v>
      </c>
      <c r="BT38" s="70">
        <v>36</v>
      </c>
      <c r="BU38" s="70">
        <v>36</v>
      </c>
      <c r="BV38" s="70">
        <v>36</v>
      </c>
      <c r="BW38" s="70">
        <v>36</v>
      </c>
      <c r="BX38" s="70">
        <v>36</v>
      </c>
      <c r="BY38" s="70">
        <v>36</v>
      </c>
      <c r="BZ38" s="70">
        <v>38</v>
      </c>
      <c r="CA38" s="70">
        <v>38</v>
      </c>
      <c r="CB38" s="70">
        <v>39</v>
      </c>
      <c r="CC38" s="70">
        <v>40</v>
      </c>
      <c r="CD38" s="70">
        <v>40</v>
      </c>
      <c r="CE38" s="70">
        <v>40</v>
      </c>
      <c r="CF38" s="70">
        <v>40</v>
      </c>
      <c r="CG38" s="70">
        <v>40</v>
      </c>
      <c r="CH38" s="70">
        <v>41</v>
      </c>
      <c r="CI38" s="70">
        <v>41</v>
      </c>
      <c r="CJ38" s="70">
        <v>41</v>
      </c>
      <c r="CK38" s="70">
        <v>42</v>
      </c>
      <c r="CL38" s="70">
        <v>43</v>
      </c>
      <c r="CM38" s="70">
        <v>43</v>
      </c>
      <c r="CN38" s="70">
        <v>43</v>
      </c>
      <c r="CO38" s="70">
        <v>43</v>
      </c>
      <c r="CP38" s="70">
        <v>43</v>
      </c>
      <c r="CQ38" s="70">
        <v>44</v>
      </c>
      <c r="CR38" s="70">
        <v>44</v>
      </c>
      <c r="CS38" s="70">
        <v>44</v>
      </c>
      <c r="CT38" s="70">
        <v>44</v>
      </c>
      <c r="CU38" s="70">
        <v>44</v>
      </c>
      <c r="CV38" s="70">
        <v>44</v>
      </c>
      <c r="CW38" s="70">
        <v>44</v>
      </c>
      <c r="CX38" s="70">
        <v>44</v>
      </c>
      <c r="CY38" s="70">
        <v>44</v>
      </c>
      <c r="CZ38" s="70">
        <v>44</v>
      </c>
      <c r="DA38" s="70">
        <v>46</v>
      </c>
      <c r="DB38" s="70">
        <v>46</v>
      </c>
      <c r="DC38" s="70">
        <v>47</v>
      </c>
      <c r="DD38" s="70">
        <v>47</v>
      </c>
      <c r="DE38" s="70">
        <v>47</v>
      </c>
      <c r="DF38" s="70">
        <v>48</v>
      </c>
      <c r="DG38" s="70">
        <v>48</v>
      </c>
      <c r="DH38" s="70">
        <v>48</v>
      </c>
      <c r="DI38" s="70">
        <v>48</v>
      </c>
      <c r="DJ38" s="70">
        <v>48</v>
      </c>
      <c r="DK38" s="70">
        <v>48</v>
      </c>
      <c r="DL38" s="70">
        <v>48</v>
      </c>
      <c r="DM38" s="70">
        <v>49</v>
      </c>
      <c r="DN38" s="70">
        <v>49</v>
      </c>
      <c r="DO38" s="70">
        <v>49</v>
      </c>
      <c r="DP38" s="70">
        <v>49</v>
      </c>
      <c r="DQ38" s="70">
        <v>50</v>
      </c>
      <c r="DR38" s="70">
        <v>50</v>
      </c>
      <c r="DS38" s="70">
        <v>50</v>
      </c>
      <c r="DT38" s="70">
        <v>50</v>
      </c>
      <c r="DU38" s="70">
        <v>50</v>
      </c>
      <c r="DV38" s="70">
        <v>50</v>
      </c>
      <c r="DW38" s="70">
        <v>50</v>
      </c>
      <c r="DX38" s="70">
        <v>50</v>
      </c>
      <c r="DY38" s="70">
        <v>51</v>
      </c>
      <c r="DZ38" s="70">
        <v>51</v>
      </c>
      <c r="EA38" s="70">
        <v>51</v>
      </c>
      <c r="EB38" s="70">
        <v>51</v>
      </c>
      <c r="EC38" s="70">
        <v>51</v>
      </c>
      <c r="ED38" s="70">
        <v>51</v>
      </c>
      <c r="EE38" s="70">
        <v>51</v>
      </c>
      <c r="EF38" s="70">
        <v>51</v>
      </c>
      <c r="EG38" s="70">
        <v>51</v>
      </c>
    </row>
    <row r="39" spans="1:137" outlineLevel="1" x14ac:dyDescent="0.2">
      <c r="A39" s="43" t="s">
        <v>63</v>
      </c>
      <c r="B39" s="50">
        <f>D39-C39</f>
        <v>54</v>
      </c>
      <c r="C39" s="50">
        <f>INDEX($AK$35:$EG$35,MATCH(D34,$AK$34:$EG$34,1))</f>
        <v>46</v>
      </c>
      <c r="D39" s="50">
        <f>$F$11</f>
        <v>100</v>
      </c>
      <c r="E39" s="34"/>
      <c r="F39" s="44" t="s">
        <v>63</v>
      </c>
      <c r="G39" s="58">
        <f>B39/D39</f>
        <v>0.54</v>
      </c>
      <c r="H39" s="58">
        <f>C39/D39</f>
        <v>0.46</v>
      </c>
      <c r="I39" s="55">
        <f>D39/D39</f>
        <v>1</v>
      </c>
      <c r="AJ39" s="82" t="s">
        <v>107</v>
      </c>
      <c r="AK39" s="70">
        <v>0</v>
      </c>
      <c r="AL39" s="70">
        <v>0</v>
      </c>
      <c r="AM39" s="70">
        <v>0</v>
      </c>
      <c r="AN39" s="70">
        <v>0</v>
      </c>
      <c r="AO39" s="70">
        <v>0</v>
      </c>
      <c r="AP39" s="70">
        <v>0</v>
      </c>
      <c r="AQ39" s="70">
        <v>0</v>
      </c>
      <c r="AR39" s="70">
        <v>0</v>
      </c>
      <c r="AS39" s="70">
        <v>0</v>
      </c>
      <c r="AT39" s="70">
        <v>0</v>
      </c>
      <c r="AU39" s="70">
        <v>0</v>
      </c>
      <c r="AV39" s="70">
        <v>0</v>
      </c>
      <c r="AW39" s="70">
        <v>1</v>
      </c>
      <c r="AX39" s="70">
        <v>1</v>
      </c>
      <c r="AY39" s="70">
        <v>1</v>
      </c>
      <c r="AZ39" s="70">
        <v>1</v>
      </c>
      <c r="BA39" s="70">
        <v>1</v>
      </c>
      <c r="BB39" s="70">
        <v>1</v>
      </c>
      <c r="BC39" s="70">
        <v>2</v>
      </c>
      <c r="BD39" s="70">
        <v>2</v>
      </c>
      <c r="BE39" s="70">
        <v>3</v>
      </c>
      <c r="BF39" s="70">
        <v>3</v>
      </c>
      <c r="BG39" s="70">
        <v>3</v>
      </c>
      <c r="BH39" s="70">
        <v>3</v>
      </c>
      <c r="BI39" s="70">
        <v>3</v>
      </c>
      <c r="BJ39" s="70">
        <v>3</v>
      </c>
      <c r="BK39" s="70">
        <v>3</v>
      </c>
      <c r="BL39" s="70">
        <v>4</v>
      </c>
      <c r="BM39" s="70">
        <v>4</v>
      </c>
      <c r="BN39" s="70">
        <v>4</v>
      </c>
      <c r="BO39" s="70">
        <v>5</v>
      </c>
      <c r="BP39" s="70">
        <v>5</v>
      </c>
      <c r="BQ39" s="70">
        <v>5</v>
      </c>
      <c r="BR39" s="70">
        <v>5</v>
      </c>
      <c r="BS39" s="70">
        <v>5</v>
      </c>
      <c r="BT39" s="70">
        <v>5</v>
      </c>
      <c r="BU39" s="70">
        <v>5</v>
      </c>
      <c r="BV39" s="70">
        <v>7</v>
      </c>
      <c r="BW39" s="70">
        <v>7</v>
      </c>
      <c r="BX39" s="70">
        <v>8</v>
      </c>
      <c r="BY39" s="70">
        <v>10</v>
      </c>
      <c r="BZ39" s="70">
        <v>10</v>
      </c>
      <c r="CA39" s="70">
        <v>10</v>
      </c>
      <c r="CB39" s="70">
        <v>10</v>
      </c>
      <c r="CC39" s="70">
        <v>11</v>
      </c>
      <c r="CD39" s="70">
        <v>11</v>
      </c>
      <c r="CE39" s="70">
        <v>11</v>
      </c>
      <c r="CF39" s="70">
        <v>11</v>
      </c>
      <c r="CG39" s="70">
        <v>12</v>
      </c>
      <c r="CH39" s="70">
        <v>12</v>
      </c>
      <c r="CI39" s="70">
        <v>13</v>
      </c>
      <c r="CJ39" s="70">
        <v>13</v>
      </c>
      <c r="CK39" s="70">
        <v>13</v>
      </c>
      <c r="CL39" s="70">
        <v>13</v>
      </c>
      <c r="CM39" s="70">
        <v>13</v>
      </c>
      <c r="CN39" s="70">
        <v>14</v>
      </c>
      <c r="CO39" s="70">
        <v>14</v>
      </c>
      <c r="CP39" s="70">
        <v>14</v>
      </c>
      <c r="CQ39" s="70">
        <v>14</v>
      </c>
      <c r="CR39" s="70">
        <v>15</v>
      </c>
      <c r="CS39" s="70">
        <v>15</v>
      </c>
      <c r="CT39" s="70">
        <v>15</v>
      </c>
      <c r="CU39" s="70">
        <v>15</v>
      </c>
      <c r="CV39" s="70">
        <v>15</v>
      </c>
      <c r="CW39" s="70">
        <v>16</v>
      </c>
      <c r="CX39" s="70">
        <v>16</v>
      </c>
      <c r="CY39" s="70">
        <v>16</v>
      </c>
      <c r="CZ39" s="70">
        <v>16</v>
      </c>
      <c r="DA39" s="70">
        <v>17</v>
      </c>
      <c r="DB39" s="70">
        <v>17</v>
      </c>
      <c r="DC39" s="70">
        <v>17</v>
      </c>
      <c r="DD39" s="70">
        <v>18</v>
      </c>
      <c r="DE39" s="70">
        <v>19</v>
      </c>
      <c r="DF39" s="70">
        <v>19</v>
      </c>
      <c r="DG39" s="70">
        <v>20</v>
      </c>
      <c r="DH39" s="70">
        <v>21</v>
      </c>
      <c r="DI39" s="70">
        <v>21</v>
      </c>
      <c r="DJ39" s="70">
        <v>21</v>
      </c>
      <c r="DK39" s="70">
        <v>21</v>
      </c>
      <c r="DL39" s="70">
        <v>21</v>
      </c>
      <c r="DM39" s="70">
        <v>21</v>
      </c>
      <c r="DN39" s="70">
        <v>21</v>
      </c>
      <c r="DO39" s="70">
        <v>22</v>
      </c>
      <c r="DP39" s="70">
        <v>24</v>
      </c>
      <c r="DQ39" s="70">
        <v>26</v>
      </c>
      <c r="DR39" s="70">
        <v>27</v>
      </c>
      <c r="DS39" s="70">
        <v>28</v>
      </c>
      <c r="DT39" s="70">
        <v>30</v>
      </c>
      <c r="DU39" s="70">
        <v>31</v>
      </c>
      <c r="DV39" s="70">
        <v>32</v>
      </c>
      <c r="DW39" s="70">
        <v>32</v>
      </c>
      <c r="DX39" s="70">
        <v>32</v>
      </c>
      <c r="DY39" s="70">
        <v>34</v>
      </c>
      <c r="DZ39" s="70">
        <v>35</v>
      </c>
      <c r="EA39" s="70">
        <v>37</v>
      </c>
      <c r="EB39" s="70">
        <v>37</v>
      </c>
      <c r="EC39" s="70">
        <v>38</v>
      </c>
      <c r="ED39" s="70">
        <v>43</v>
      </c>
      <c r="EE39" s="70">
        <v>44</v>
      </c>
      <c r="EF39" s="70">
        <v>48</v>
      </c>
      <c r="EG39" s="70">
        <v>49</v>
      </c>
    </row>
    <row r="40" spans="1:137" outlineLevel="1" x14ac:dyDescent="0.2">
      <c r="A40" s="45" t="s">
        <v>65</v>
      </c>
      <c r="B40" s="46">
        <f>G37+H38</f>
        <v>0.77</v>
      </c>
      <c r="C40" s="36"/>
      <c r="D40" s="47" t="s">
        <v>66</v>
      </c>
      <c r="E40" s="46">
        <f>H38/I38</f>
        <v>0.73469387755102045</v>
      </c>
      <c r="F40" s="36"/>
      <c r="G40" s="47" t="s">
        <v>67</v>
      </c>
      <c r="H40" s="46">
        <f>G37/I37</f>
        <v>0.8039215686274509</v>
      </c>
      <c r="I40" s="37"/>
      <c r="AJ40" s="82"/>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row>
    <row r="41" spans="1:137" x14ac:dyDescent="0.2">
      <c r="A41" s="85"/>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row>
    <row r="42" spans="1:137" x14ac:dyDescent="0.2">
      <c r="A42" s="12" t="s">
        <v>68</v>
      </c>
      <c r="AJ42" s="70" t="s">
        <v>108</v>
      </c>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row>
    <row r="43" spans="1:137" outlineLevel="1" x14ac:dyDescent="0.2">
      <c r="AJ43" s="70" t="s">
        <v>102</v>
      </c>
      <c r="AK43" s="70">
        <v>0</v>
      </c>
      <c r="AL43" s="70">
        <v>0.01</v>
      </c>
      <c r="AM43" s="70">
        <v>0.02</v>
      </c>
      <c r="AN43" s="70">
        <v>0.03</v>
      </c>
      <c r="AO43" s="70">
        <v>0.04</v>
      </c>
      <c r="AP43" s="70">
        <v>0.05</v>
      </c>
      <c r="AQ43" s="70">
        <v>6.0000000000000005E-2</v>
      </c>
      <c r="AR43" s="70">
        <v>7.0000000000000007E-2</v>
      </c>
      <c r="AS43" s="70">
        <v>0.08</v>
      </c>
      <c r="AT43" s="70">
        <v>0.09</v>
      </c>
      <c r="AU43" s="70">
        <v>9.9999999999999992E-2</v>
      </c>
      <c r="AV43" s="70">
        <v>0.10999999999999999</v>
      </c>
      <c r="AW43" s="70">
        <v>0.11999999999999998</v>
      </c>
      <c r="AX43" s="70">
        <v>0.12999999999999998</v>
      </c>
      <c r="AY43" s="70">
        <v>0.13999999999999999</v>
      </c>
      <c r="AZ43" s="70">
        <v>0.15</v>
      </c>
      <c r="BA43" s="70">
        <v>0.16</v>
      </c>
      <c r="BB43" s="70">
        <v>0.17</v>
      </c>
      <c r="BC43" s="70">
        <v>0.18000000000000002</v>
      </c>
      <c r="BD43" s="70">
        <v>0.19000000000000003</v>
      </c>
      <c r="BE43" s="70">
        <v>0.20000000000000004</v>
      </c>
      <c r="BF43" s="70">
        <v>0.21000000000000005</v>
      </c>
      <c r="BG43" s="70">
        <v>0.22000000000000006</v>
      </c>
      <c r="BH43" s="70">
        <v>0.23000000000000007</v>
      </c>
      <c r="BI43" s="70">
        <v>0.24000000000000007</v>
      </c>
      <c r="BJ43" s="70">
        <v>0.25000000000000006</v>
      </c>
      <c r="BK43" s="70">
        <v>0.26000000000000006</v>
      </c>
      <c r="BL43" s="70">
        <v>0.27000000000000007</v>
      </c>
      <c r="BM43" s="70">
        <v>0.28000000000000008</v>
      </c>
      <c r="BN43" s="70">
        <v>0.29000000000000009</v>
      </c>
      <c r="BO43" s="70">
        <v>0.3000000000000001</v>
      </c>
      <c r="BP43" s="70">
        <v>0.31000000000000011</v>
      </c>
      <c r="BQ43" s="70">
        <v>0.32000000000000012</v>
      </c>
      <c r="BR43" s="70">
        <v>0.33000000000000013</v>
      </c>
      <c r="BS43" s="70">
        <v>0.34000000000000014</v>
      </c>
      <c r="BT43" s="70">
        <v>0.35000000000000014</v>
      </c>
      <c r="BU43" s="70">
        <v>0.36000000000000015</v>
      </c>
      <c r="BV43" s="70">
        <v>0.37000000000000016</v>
      </c>
      <c r="BW43" s="70">
        <v>0.38000000000000017</v>
      </c>
      <c r="BX43" s="70">
        <v>0.39000000000000018</v>
      </c>
      <c r="BY43" s="70">
        <v>0.40000000000000019</v>
      </c>
      <c r="BZ43" s="70">
        <v>0.4100000000000002</v>
      </c>
      <c r="CA43" s="70">
        <v>0.42000000000000021</v>
      </c>
      <c r="CB43" s="70">
        <v>0.43000000000000022</v>
      </c>
      <c r="CC43" s="70">
        <v>0.44000000000000022</v>
      </c>
      <c r="CD43" s="70">
        <v>0.45000000000000023</v>
      </c>
      <c r="CE43" s="70">
        <v>0.46000000000000024</v>
      </c>
      <c r="CF43" s="70">
        <v>0.47000000000000025</v>
      </c>
      <c r="CG43" s="70">
        <v>0.48000000000000026</v>
      </c>
      <c r="CH43" s="70">
        <v>0.49000000000000027</v>
      </c>
      <c r="CI43" s="70">
        <v>0.50000000000000022</v>
      </c>
      <c r="CJ43" s="70">
        <v>0.51000000000000023</v>
      </c>
      <c r="CK43" s="70">
        <v>0.52000000000000024</v>
      </c>
      <c r="CL43" s="70">
        <v>0.53000000000000025</v>
      </c>
      <c r="CM43" s="70">
        <v>0.54000000000000026</v>
      </c>
      <c r="CN43" s="70">
        <v>0.55000000000000027</v>
      </c>
      <c r="CO43" s="70">
        <v>0.56000000000000028</v>
      </c>
      <c r="CP43" s="70">
        <v>0.57000000000000028</v>
      </c>
      <c r="CQ43" s="70">
        <v>0.58000000000000029</v>
      </c>
      <c r="CR43" s="70">
        <v>0.5900000000000003</v>
      </c>
      <c r="CS43" s="70">
        <v>0.60000000000000031</v>
      </c>
      <c r="CT43" s="70">
        <v>0.61000000000000032</v>
      </c>
      <c r="CU43" s="70">
        <v>0.62000000000000033</v>
      </c>
      <c r="CV43" s="70">
        <v>0.63000000000000034</v>
      </c>
      <c r="CW43" s="70">
        <v>0.64000000000000035</v>
      </c>
      <c r="CX43" s="70">
        <v>0.65000000000000036</v>
      </c>
      <c r="CY43" s="70">
        <v>0.66000000000000036</v>
      </c>
      <c r="CZ43" s="70">
        <v>0.67000000000000037</v>
      </c>
      <c r="DA43" s="70">
        <v>0.68000000000000038</v>
      </c>
      <c r="DB43" s="70">
        <v>0.69000000000000039</v>
      </c>
      <c r="DC43" s="70">
        <v>0.7000000000000004</v>
      </c>
      <c r="DD43" s="70">
        <v>0.71000000000000041</v>
      </c>
      <c r="DE43" s="70">
        <v>0.72000000000000042</v>
      </c>
      <c r="DF43" s="70">
        <v>0.73000000000000043</v>
      </c>
      <c r="DG43" s="70">
        <v>0.74000000000000044</v>
      </c>
      <c r="DH43" s="70">
        <v>0.75000000000000044</v>
      </c>
      <c r="DI43" s="70">
        <v>0.76000000000000045</v>
      </c>
      <c r="DJ43" s="70">
        <v>0.77000000000000046</v>
      </c>
      <c r="DK43" s="70">
        <v>0.78000000000000047</v>
      </c>
      <c r="DL43" s="70">
        <v>0.79000000000000048</v>
      </c>
      <c r="DM43" s="70">
        <v>0.80000000000000049</v>
      </c>
      <c r="DN43" s="70">
        <v>0.8100000000000005</v>
      </c>
      <c r="DO43" s="70">
        <v>0.82000000000000051</v>
      </c>
      <c r="DP43" s="70">
        <v>0.83000000000000052</v>
      </c>
      <c r="DQ43" s="70">
        <v>0.84000000000000052</v>
      </c>
      <c r="DR43" s="70">
        <v>0.85000000000000053</v>
      </c>
      <c r="DS43" s="70">
        <v>0.86000000000000054</v>
      </c>
      <c r="DT43" s="70">
        <v>0.87000000000000055</v>
      </c>
      <c r="DU43" s="70">
        <v>0.88000000000000056</v>
      </c>
      <c r="DV43" s="70">
        <v>0.89000000000000057</v>
      </c>
      <c r="DW43" s="70">
        <v>0.90000000000000058</v>
      </c>
      <c r="DX43" s="70">
        <v>0.91000000000000059</v>
      </c>
      <c r="DY43" s="70">
        <v>0.9200000000000006</v>
      </c>
      <c r="DZ43" s="70">
        <v>0.9300000000000006</v>
      </c>
      <c r="EA43" s="70">
        <v>0.94000000000000061</v>
      </c>
      <c r="EB43" s="70">
        <v>0.95000000000000062</v>
      </c>
      <c r="EC43" s="70">
        <v>0.96000000000000063</v>
      </c>
      <c r="ED43" s="70">
        <v>0.97000000000000064</v>
      </c>
      <c r="EE43" s="70">
        <v>0.98000000000000065</v>
      </c>
      <c r="EF43" s="70">
        <v>0.99000000000000066</v>
      </c>
      <c r="EG43" s="70">
        <v>1.0000000000000007</v>
      </c>
    </row>
    <row r="44" spans="1:137" outlineLevel="1" x14ac:dyDescent="0.2">
      <c r="AJ44" s="70" t="s">
        <v>109</v>
      </c>
      <c r="AK44" s="70">
        <v>1</v>
      </c>
      <c r="AL44" s="70">
        <v>1</v>
      </c>
      <c r="AM44" s="70">
        <v>1</v>
      </c>
      <c r="AN44" s="70">
        <v>1</v>
      </c>
      <c r="AO44" s="70">
        <v>1</v>
      </c>
      <c r="AP44" s="70">
        <v>1</v>
      </c>
      <c r="AQ44" s="70">
        <v>1</v>
      </c>
      <c r="AR44" s="70">
        <v>1</v>
      </c>
      <c r="AS44" s="70">
        <v>1</v>
      </c>
      <c r="AT44" s="70">
        <v>1</v>
      </c>
      <c r="AU44" s="70">
        <v>1</v>
      </c>
      <c r="AV44" s="70">
        <v>1</v>
      </c>
      <c r="AW44" s="70">
        <v>0.97959183673469385</v>
      </c>
      <c r="AX44" s="70">
        <v>0.97959183673469385</v>
      </c>
      <c r="AY44" s="70">
        <v>0.97959183673469385</v>
      </c>
      <c r="AZ44" s="70">
        <v>0.97959183673469385</v>
      </c>
      <c r="BA44" s="70">
        <v>0.97959183673469385</v>
      </c>
      <c r="BB44" s="70">
        <v>0.97959183673469385</v>
      </c>
      <c r="BC44" s="70">
        <v>0.95918367346938771</v>
      </c>
      <c r="BD44" s="70">
        <v>0.95918367346938771</v>
      </c>
      <c r="BE44" s="70">
        <v>0.93877551020408168</v>
      </c>
      <c r="BF44" s="70">
        <v>0.93877551020408168</v>
      </c>
      <c r="BG44" s="70">
        <v>0.93877551020408168</v>
      </c>
      <c r="BH44" s="70">
        <v>0.93877551020408168</v>
      </c>
      <c r="BI44" s="70">
        <v>0.93877551020408168</v>
      </c>
      <c r="BJ44" s="70">
        <v>0.93877551020408168</v>
      </c>
      <c r="BK44" s="70">
        <v>0.93877551020408168</v>
      </c>
      <c r="BL44" s="70">
        <v>0.91836734693877553</v>
      </c>
      <c r="BM44" s="70">
        <v>0.91836734693877553</v>
      </c>
      <c r="BN44" s="70">
        <v>0.91836734693877553</v>
      </c>
      <c r="BO44" s="70">
        <v>0.89795918367346939</v>
      </c>
      <c r="BP44" s="70">
        <v>0.89795918367346939</v>
      </c>
      <c r="BQ44" s="70">
        <v>0.89795918367346939</v>
      </c>
      <c r="BR44" s="70">
        <v>0.89795918367346939</v>
      </c>
      <c r="BS44" s="70">
        <v>0.89795918367346939</v>
      </c>
      <c r="BT44" s="70">
        <v>0.89795918367346939</v>
      </c>
      <c r="BU44" s="70">
        <v>0.89795918367346939</v>
      </c>
      <c r="BV44" s="70">
        <v>0.8571428571428571</v>
      </c>
      <c r="BW44" s="70">
        <v>0.8571428571428571</v>
      </c>
      <c r="BX44" s="70">
        <v>0.83673469387755106</v>
      </c>
      <c r="BY44" s="70">
        <v>0.79591836734693877</v>
      </c>
      <c r="BZ44" s="70">
        <v>0.79591836734693877</v>
      </c>
      <c r="CA44" s="70">
        <v>0.79591836734693877</v>
      </c>
      <c r="CB44" s="70">
        <v>0.79591836734693877</v>
      </c>
      <c r="CC44" s="70">
        <v>0.77551020408163263</v>
      </c>
      <c r="CD44" s="70">
        <v>0.77551020408163263</v>
      </c>
      <c r="CE44" s="70">
        <v>0.77551020408163263</v>
      </c>
      <c r="CF44" s="70">
        <v>0.77551020408163263</v>
      </c>
      <c r="CG44" s="70">
        <v>0.75510204081632648</v>
      </c>
      <c r="CH44" s="70">
        <v>0.75510204081632648</v>
      </c>
      <c r="CI44" s="70">
        <v>0.73469387755102045</v>
      </c>
      <c r="CJ44" s="70">
        <v>0.73469387755102045</v>
      </c>
      <c r="CK44" s="70">
        <v>0.73469387755102045</v>
      </c>
      <c r="CL44" s="70">
        <v>0.73469387755102045</v>
      </c>
      <c r="CM44" s="70">
        <v>0.73469387755102045</v>
      </c>
      <c r="CN44" s="70">
        <v>0.7142857142857143</v>
      </c>
      <c r="CO44" s="70">
        <v>0.7142857142857143</v>
      </c>
      <c r="CP44" s="70">
        <v>0.7142857142857143</v>
      </c>
      <c r="CQ44" s="70">
        <v>0.7142857142857143</v>
      </c>
      <c r="CR44" s="70">
        <v>0.69387755102040816</v>
      </c>
      <c r="CS44" s="70">
        <v>0.69387755102040816</v>
      </c>
      <c r="CT44" s="70">
        <v>0.69387755102040816</v>
      </c>
      <c r="CU44" s="70">
        <v>0.69387755102040816</v>
      </c>
      <c r="CV44" s="70">
        <v>0.69387755102040816</v>
      </c>
      <c r="CW44" s="70">
        <v>0.67346938775510201</v>
      </c>
      <c r="CX44" s="70">
        <v>0.67346938775510201</v>
      </c>
      <c r="CY44" s="70">
        <v>0.67346938775510201</v>
      </c>
      <c r="CZ44" s="70">
        <v>0.67346938775510201</v>
      </c>
      <c r="DA44" s="70">
        <v>0.65306122448979587</v>
      </c>
      <c r="DB44" s="70">
        <v>0.65306122448979587</v>
      </c>
      <c r="DC44" s="70">
        <v>0.65306122448979587</v>
      </c>
      <c r="DD44" s="70">
        <v>0.63265306122448983</v>
      </c>
      <c r="DE44" s="70">
        <v>0.61224489795918369</v>
      </c>
      <c r="DF44" s="70">
        <v>0.61224489795918369</v>
      </c>
      <c r="DG44" s="70">
        <v>0.59183673469387754</v>
      </c>
      <c r="DH44" s="70">
        <v>0.5714285714285714</v>
      </c>
      <c r="DI44" s="70">
        <v>0.5714285714285714</v>
      </c>
      <c r="DJ44" s="70">
        <v>0.5714285714285714</v>
      </c>
      <c r="DK44" s="70">
        <v>0.5714285714285714</v>
      </c>
      <c r="DL44" s="70">
        <v>0.5714285714285714</v>
      </c>
      <c r="DM44" s="70">
        <v>0.5714285714285714</v>
      </c>
      <c r="DN44" s="70">
        <v>0.5714285714285714</v>
      </c>
      <c r="DO44" s="70">
        <v>0.55102040816326525</v>
      </c>
      <c r="DP44" s="70">
        <v>0.51020408163265307</v>
      </c>
      <c r="DQ44" s="70">
        <v>0.46938775510204084</v>
      </c>
      <c r="DR44" s="70">
        <v>0.44897959183673469</v>
      </c>
      <c r="DS44" s="70">
        <v>0.42857142857142855</v>
      </c>
      <c r="DT44" s="70">
        <v>0.38775510204081631</v>
      </c>
      <c r="DU44" s="70">
        <v>0.36734693877551022</v>
      </c>
      <c r="DV44" s="70">
        <v>0.34693877551020408</v>
      </c>
      <c r="DW44" s="70">
        <v>0.34693877551020408</v>
      </c>
      <c r="DX44" s="70">
        <v>0.34693877551020408</v>
      </c>
      <c r="DY44" s="70">
        <v>0.30612244897959184</v>
      </c>
      <c r="DZ44" s="70">
        <v>0.2857142857142857</v>
      </c>
      <c r="EA44" s="70">
        <v>0.24489795918367346</v>
      </c>
      <c r="EB44" s="70">
        <v>0.24489795918367346</v>
      </c>
      <c r="EC44" s="70">
        <v>0.22448979591836735</v>
      </c>
      <c r="ED44" s="70">
        <v>0.12244897959183673</v>
      </c>
      <c r="EE44" s="70">
        <v>0.10204081632653061</v>
      </c>
      <c r="EF44" s="70">
        <v>2.0408163265306121E-2</v>
      </c>
      <c r="EG44" s="70">
        <v>0</v>
      </c>
    </row>
    <row r="45" spans="1:137" outlineLevel="1" x14ac:dyDescent="0.2">
      <c r="B45" s="2" t="s">
        <v>112</v>
      </c>
      <c r="C45" s="2">
        <f>$AK$47</f>
        <v>0.88615446178471402</v>
      </c>
      <c r="AJ45" s="70" t="s">
        <v>110</v>
      </c>
      <c r="AK45" s="70">
        <v>1</v>
      </c>
      <c r="AL45" s="70">
        <v>1</v>
      </c>
      <c r="AM45" s="70">
        <v>0.90196078431372551</v>
      </c>
      <c r="AN45" s="70">
        <v>0.84313725490196079</v>
      </c>
      <c r="AO45" s="70">
        <v>0.82352941176470584</v>
      </c>
      <c r="AP45" s="70">
        <v>0.82352941176470584</v>
      </c>
      <c r="AQ45" s="70">
        <v>0.80392156862745101</v>
      </c>
      <c r="AR45" s="70">
        <v>0.76470588235294112</v>
      </c>
      <c r="AS45" s="70">
        <v>0.72549019607843135</v>
      </c>
      <c r="AT45" s="70">
        <v>0.66666666666666663</v>
      </c>
      <c r="AU45" s="70">
        <v>0.62745098039215685</v>
      </c>
      <c r="AV45" s="70">
        <v>0.62745098039215685</v>
      </c>
      <c r="AW45" s="70">
        <v>0.60784313725490191</v>
      </c>
      <c r="AX45" s="70">
        <v>0.60784313725490191</v>
      </c>
      <c r="AY45" s="70">
        <v>0.56862745098039214</v>
      </c>
      <c r="AZ45" s="70">
        <v>0.52941176470588236</v>
      </c>
      <c r="BA45" s="70">
        <v>0.52941176470588236</v>
      </c>
      <c r="BB45" s="70">
        <v>0.50980392156862742</v>
      </c>
      <c r="BC45" s="70">
        <v>0.50980392156862742</v>
      </c>
      <c r="BD45" s="70">
        <v>0.50980392156862742</v>
      </c>
      <c r="BE45" s="70">
        <v>0.50980392156862742</v>
      </c>
      <c r="BF45" s="70">
        <v>0.47058823529411764</v>
      </c>
      <c r="BG45" s="70">
        <v>0.47058823529411764</v>
      </c>
      <c r="BH45" s="70">
        <v>0.43137254901960786</v>
      </c>
      <c r="BI45" s="70">
        <v>0.43137254901960786</v>
      </c>
      <c r="BJ45" s="70">
        <v>0.41176470588235292</v>
      </c>
      <c r="BK45" s="70">
        <v>0.39215686274509803</v>
      </c>
      <c r="BL45" s="70">
        <v>0.35294117647058826</v>
      </c>
      <c r="BM45" s="70">
        <v>0.35294117647058826</v>
      </c>
      <c r="BN45" s="70">
        <v>0.33333333333333331</v>
      </c>
      <c r="BO45" s="70">
        <v>0.31372549019607843</v>
      </c>
      <c r="BP45" s="70">
        <v>0.31372549019607843</v>
      </c>
      <c r="BQ45" s="70">
        <v>0.31372549019607843</v>
      </c>
      <c r="BR45" s="70">
        <v>0.31372549019607843</v>
      </c>
      <c r="BS45" s="70">
        <v>0.29411764705882354</v>
      </c>
      <c r="BT45" s="70">
        <v>0.29411764705882354</v>
      </c>
      <c r="BU45" s="70">
        <v>0.29411764705882354</v>
      </c>
      <c r="BV45" s="70">
        <v>0.29411764705882354</v>
      </c>
      <c r="BW45" s="70">
        <v>0.29411764705882354</v>
      </c>
      <c r="BX45" s="70">
        <v>0.29411764705882354</v>
      </c>
      <c r="BY45" s="70">
        <v>0.29411764705882354</v>
      </c>
      <c r="BZ45" s="70">
        <v>0.25490196078431371</v>
      </c>
      <c r="CA45" s="70">
        <v>0.25490196078431371</v>
      </c>
      <c r="CB45" s="70">
        <v>0.23529411764705882</v>
      </c>
      <c r="CC45" s="70">
        <v>0.21568627450980393</v>
      </c>
      <c r="CD45" s="70">
        <v>0.21568627450980393</v>
      </c>
      <c r="CE45" s="70">
        <v>0.21568627450980393</v>
      </c>
      <c r="CF45" s="70">
        <v>0.21568627450980393</v>
      </c>
      <c r="CG45" s="70">
        <v>0.21568627450980393</v>
      </c>
      <c r="CH45" s="70">
        <v>0.19607843137254902</v>
      </c>
      <c r="CI45" s="70">
        <v>0.19607843137254902</v>
      </c>
      <c r="CJ45" s="70">
        <v>0.19607843137254902</v>
      </c>
      <c r="CK45" s="70">
        <v>0.17647058823529413</v>
      </c>
      <c r="CL45" s="70">
        <v>0.15686274509803921</v>
      </c>
      <c r="CM45" s="70">
        <v>0.15686274509803921</v>
      </c>
      <c r="CN45" s="70">
        <v>0.15686274509803921</v>
      </c>
      <c r="CO45" s="70">
        <v>0.15686274509803921</v>
      </c>
      <c r="CP45" s="70">
        <v>0.15686274509803921</v>
      </c>
      <c r="CQ45" s="70">
        <v>0.13725490196078433</v>
      </c>
      <c r="CR45" s="70">
        <v>0.13725490196078433</v>
      </c>
      <c r="CS45" s="70">
        <v>0.13725490196078433</v>
      </c>
      <c r="CT45" s="70">
        <v>0.13725490196078433</v>
      </c>
      <c r="CU45" s="70">
        <v>0.13725490196078433</v>
      </c>
      <c r="CV45" s="70">
        <v>0.13725490196078433</v>
      </c>
      <c r="CW45" s="70">
        <v>0.13725490196078433</v>
      </c>
      <c r="CX45" s="70">
        <v>0.13725490196078433</v>
      </c>
      <c r="CY45" s="70">
        <v>0.13725490196078433</v>
      </c>
      <c r="CZ45" s="70">
        <v>0.13725490196078433</v>
      </c>
      <c r="DA45" s="70">
        <v>9.8039215686274508E-2</v>
      </c>
      <c r="DB45" s="70">
        <v>9.8039215686274508E-2</v>
      </c>
      <c r="DC45" s="70">
        <v>7.8431372549019607E-2</v>
      </c>
      <c r="DD45" s="70">
        <v>7.8431372549019607E-2</v>
      </c>
      <c r="DE45" s="70">
        <v>7.8431372549019607E-2</v>
      </c>
      <c r="DF45" s="70">
        <v>5.8823529411764705E-2</v>
      </c>
      <c r="DG45" s="70">
        <v>5.8823529411764705E-2</v>
      </c>
      <c r="DH45" s="70">
        <v>5.8823529411764705E-2</v>
      </c>
      <c r="DI45" s="70">
        <v>5.8823529411764705E-2</v>
      </c>
      <c r="DJ45" s="70">
        <v>5.8823529411764705E-2</v>
      </c>
      <c r="DK45" s="70">
        <v>5.8823529411764705E-2</v>
      </c>
      <c r="DL45" s="70">
        <v>5.8823529411764705E-2</v>
      </c>
      <c r="DM45" s="70">
        <v>3.9215686274509803E-2</v>
      </c>
      <c r="DN45" s="70">
        <v>3.9215686274509803E-2</v>
      </c>
      <c r="DO45" s="70">
        <v>3.9215686274509803E-2</v>
      </c>
      <c r="DP45" s="70">
        <v>3.9215686274509803E-2</v>
      </c>
      <c r="DQ45" s="70">
        <v>1.9607843137254902E-2</v>
      </c>
      <c r="DR45" s="70">
        <v>1.9607843137254902E-2</v>
      </c>
      <c r="DS45" s="70">
        <v>1.9607843137254902E-2</v>
      </c>
      <c r="DT45" s="70">
        <v>1.9607843137254902E-2</v>
      </c>
      <c r="DU45" s="70">
        <v>1.9607843137254902E-2</v>
      </c>
      <c r="DV45" s="70">
        <v>1.9607843137254902E-2</v>
      </c>
      <c r="DW45" s="70">
        <v>1.9607843137254902E-2</v>
      </c>
      <c r="DX45" s="70">
        <v>1.9607843137254902E-2</v>
      </c>
      <c r="DY45" s="70">
        <v>0</v>
      </c>
      <c r="DZ45" s="70">
        <v>0</v>
      </c>
      <c r="EA45" s="70">
        <v>0</v>
      </c>
      <c r="EB45" s="70">
        <v>0</v>
      </c>
      <c r="EC45" s="70">
        <v>0</v>
      </c>
      <c r="ED45" s="70">
        <v>0</v>
      </c>
      <c r="EE45" s="70">
        <v>0</v>
      </c>
      <c r="EF45" s="70">
        <v>0</v>
      </c>
      <c r="EG45" s="70">
        <v>0</v>
      </c>
    </row>
    <row r="46" spans="1:137" outlineLevel="1" x14ac:dyDescent="0.2">
      <c r="B46" s="2" t="s">
        <v>113</v>
      </c>
      <c r="C46" s="2" t="str">
        <f xml:space="preserve"> "Cutoff = " &amp; TEXT($D$34,"0.00")</f>
        <v>Cutoff = 0.50</v>
      </c>
      <c r="AJ46" s="70" t="s">
        <v>111</v>
      </c>
      <c r="AK46" s="70">
        <v>0</v>
      </c>
      <c r="AL46" s="70">
        <v>9.8039215686274495E-2</v>
      </c>
      <c r="AM46" s="70">
        <v>5.8823529411764719E-2</v>
      </c>
      <c r="AN46" s="70">
        <v>1.9607843137254943E-2</v>
      </c>
      <c r="AO46" s="70">
        <v>0</v>
      </c>
      <c r="AP46" s="70">
        <v>1.9607843137254832E-2</v>
      </c>
      <c r="AQ46" s="70">
        <v>3.9215686274509887E-2</v>
      </c>
      <c r="AR46" s="70">
        <v>3.9215686274509776E-2</v>
      </c>
      <c r="AS46" s="70">
        <v>5.8823529411764719E-2</v>
      </c>
      <c r="AT46" s="70">
        <v>3.9215686274509776E-2</v>
      </c>
      <c r="AU46" s="70">
        <v>0</v>
      </c>
      <c r="AV46" s="70">
        <v>1.9407763105242136E-2</v>
      </c>
      <c r="AW46" s="70">
        <v>0</v>
      </c>
      <c r="AX46" s="70">
        <v>3.8415366146458553E-2</v>
      </c>
      <c r="AY46" s="70">
        <v>3.8415366146458553E-2</v>
      </c>
      <c r="AZ46" s="70">
        <v>0</v>
      </c>
      <c r="BA46" s="70">
        <v>1.9207683073229332E-2</v>
      </c>
      <c r="BB46" s="70">
        <v>0</v>
      </c>
      <c r="BC46" s="70">
        <v>0</v>
      </c>
      <c r="BD46" s="70">
        <v>0</v>
      </c>
      <c r="BE46" s="70">
        <v>3.6814725890356115E-2</v>
      </c>
      <c r="BF46" s="70">
        <v>0</v>
      </c>
      <c r="BG46" s="70">
        <v>3.6814725890356115E-2</v>
      </c>
      <c r="BH46" s="70">
        <v>0</v>
      </c>
      <c r="BI46" s="70">
        <v>1.8407362945178109E-2</v>
      </c>
      <c r="BJ46" s="70">
        <v>1.8407362945178057E-2</v>
      </c>
      <c r="BK46" s="70">
        <v>3.6414565826330507E-2</v>
      </c>
      <c r="BL46" s="70">
        <v>0</v>
      </c>
      <c r="BM46" s="70">
        <v>1.8007202881152498E-2</v>
      </c>
      <c r="BN46" s="70">
        <v>1.7807122849139642E-2</v>
      </c>
      <c r="BO46" s="70">
        <v>0</v>
      </c>
      <c r="BP46" s="70">
        <v>0</v>
      </c>
      <c r="BQ46" s="70">
        <v>0</v>
      </c>
      <c r="BR46" s="70">
        <v>1.7607042817126838E-2</v>
      </c>
      <c r="BS46" s="70">
        <v>0</v>
      </c>
      <c r="BT46" s="70">
        <v>0</v>
      </c>
      <c r="BU46" s="70">
        <v>0</v>
      </c>
      <c r="BV46" s="70">
        <v>0</v>
      </c>
      <c r="BW46" s="70">
        <v>0</v>
      </c>
      <c r="BX46" s="70">
        <v>0</v>
      </c>
      <c r="BY46" s="70">
        <v>3.1212484993997619E-2</v>
      </c>
      <c r="BZ46" s="70">
        <v>0</v>
      </c>
      <c r="CA46" s="70">
        <v>1.5606242496998789E-2</v>
      </c>
      <c r="CB46" s="70">
        <v>1.5406162464985983E-2</v>
      </c>
      <c r="CC46" s="70">
        <v>0</v>
      </c>
      <c r="CD46" s="70">
        <v>0</v>
      </c>
      <c r="CE46" s="70">
        <v>0</v>
      </c>
      <c r="CF46" s="70">
        <v>0</v>
      </c>
      <c r="CG46" s="70">
        <v>1.4805922368947589E-2</v>
      </c>
      <c r="CH46" s="70">
        <v>0</v>
      </c>
      <c r="CI46" s="70">
        <v>0</v>
      </c>
      <c r="CJ46" s="70">
        <v>1.440576230492196E-2</v>
      </c>
      <c r="CK46" s="70">
        <v>1.4405762304921979E-2</v>
      </c>
      <c r="CL46" s="70">
        <v>0</v>
      </c>
      <c r="CM46" s="70">
        <v>0</v>
      </c>
      <c r="CN46" s="70">
        <v>0</v>
      </c>
      <c r="CO46" s="70">
        <v>0</v>
      </c>
      <c r="CP46" s="70">
        <v>1.4005602240896349E-2</v>
      </c>
      <c r="CQ46" s="70">
        <v>0</v>
      </c>
      <c r="CR46" s="70">
        <v>0</v>
      </c>
      <c r="CS46" s="70">
        <v>0</v>
      </c>
      <c r="CT46" s="70">
        <v>0</v>
      </c>
      <c r="CU46" s="70">
        <v>0</v>
      </c>
      <c r="CV46" s="70">
        <v>0</v>
      </c>
      <c r="CW46" s="70">
        <v>0</v>
      </c>
      <c r="CX46" s="70">
        <v>0</v>
      </c>
      <c r="CY46" s="70">
        <v>0</v>
      </c>
      <c r="CZ46" s="70">
        <v>2.6010404161664672E-2</v>
      </c>
      <c r="DA46" s="70">
        <v>0</v>
      </c>
      <c r="DB46" s="70">
        <v>1.2805122048819527E-2</v>
      </c>
      <c r="DC46" s="70">
        <v>0</v>
      </c>
      <c r="DD46" s="70">
        <v>0</v>
      </c>
      <c r="DE46" s="70">
        <v>1.2004801920768308E-2</v>
      </c>
      <c r="DF46" s="70">
        <v>0</v>
      </c>
      <c r="DG46" s="70">
        <v>0</v>
      </c>
      <c r="DH46" s="70">
        <v>0</v>
      </c>
      <c r="DI46" s="70">
        <v>0</v>
      </c>
      <c r="DJ46" s="70">
        <v>0</v>
      </c>
      <c r="DK46" s="70">
        <v>0</v>
      </c>
      <c r="DL46" s="70">
        <v>1.1204481792717085E-2</v>
      </c>
      <c r="DM46" s="70">
        <v>0</v>
      </c>
      <c r="DN46" s="70">
        <v>0</v>
      </c>
      <c r="DO46" s="70">
        <v>0</v>
      </c>
      <c r="DP46" s="70">
        <v>9.6038415366146452E-3</v>
      </c>
      <c r="DQ46" s="70">
        <v>0</v>
      </c>
      <c r="DR46" s="70">
        <v>0</v>
      </c>
      <c r="DS46" s="70">
        <v>0</v>
      </c>
      <c r="DT46" s="70">
        <v>0</v>
      </c>
      <c r="DU46" s="70">
        <v>0</v>
      </c>
      <c r="DV46" s="70">
        <v>0</v>
      </c>
      <c r="DW46" s="70">
        <v>0</v>
      </c>
      <c r="DX46" s="70">
        <v>6.4025610244097643E-3</v>
      </c>
      <c r="DY46" s="70">
        <v>0</v>
      </c>
      <c r="DZ46" s="70">
        <v>0</v>
      </c>
      <c r="EA46" s="70">
        <v>0</v>
      </c>
      <c r="EB46" s="70">
        <v>0</v>
      </c>
      <c r="EC46" s="70">
        <v>0</v>
      </c>
      <c r="ED46" s="70">
        <v>0</v>
      </c>
      <c r="EE46" s="70">
        <v>0</v>
      </c>
      <c r="EF46" s="70">
        <v>0</v>
      </c>
      <c r="EG46" s="70">
        <v>0</v>
      </c>
    </row>
    <row r="47" spans="1:137" outlineLevel="1" x14ac:dyDescent="0.2">
      <c r="B47" s="2" t="s">
        <v>114</v>
      </c>
      <c r="C47" s="2" t="str">
        <f xml:space="preserve"> "ROC curve:  area under curve = " &amp; TEXT(C45,"0.00") &amp; " 
Model 1 for Y    (1 variable, n=100)"</f>
        <v>ROC curve:  area under curve = 0.89 
Model 1 for Y    (1 variable, n=100)</v>
      </c>
      <c r="AJ47" s="70" t="s">
        <v>112</v>
      </c>
      <c r="AK47" s="70">
        <f>SUM(AK46:EG46)</f>
        <v>0.88615446178471402</v>
      </c>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row>
    <row r="48" spans="1:137" outlineLevel="1" x14ac:dyDescent="0.2">
      <c r="B48" s="2" t="s">
        <v>115</v>
      </c>
      <c r="D48" s="2">
        <v>0</v>
      </c>
      <c r="E48" s="2">
        <v>1</v>
      </c>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row>
    <row r="49" spans="1:137" outlineLevel="1" x14ac:dyDescent="0.2">
      <c r="D49" s="2">
        <v>0</v>
      </c>
      <c r="E49" s="2">
        <v>1</v>
      </c>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row>
    <row r="50" spans="1:137" outlineLevel="1" x14ac:dyDescent="0.2">
      <c r="D50" s="2">
        <f>1-$H$40</f>
        <v>0.1960784313725491</v>
      </c>
      <c r="E50" s="2">
        <f>$E$40</f>
        <v>0.73469387755102045</v>
      </c>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row>
    <row r="51" spans="1:137" outlineLevel="1" x14ac:dyDescent="0.2">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row>
    <row r="52" spans="1:137" outlineLevel="1" x14ac:dyDescent="0.2">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row>
    <row r="53" spans="1:137" outlineLevel="1" x14ac:dyDescent="0.2">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row>
    <row r="54" spans="1:137" outlineLevel="1" x14ac:dyDescent="0.2">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row>
    <row r="55" spans="1:137" outlineLevel="1" x14ac:dyDescent="0.2">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row>
    <row r="56" spans="1:137" outlineLevel="1" x14ac:dyDescent="0.2">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row>
    <row r="57" spans="1:137" outlineLevel="1" x14ac:dyDescent="0.2">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row>
    <row r="58" spans="1:137" outlineLevel="1" x14ac:dyDescent="0.2">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row>
    <row r="59" spans="1:137" outlineLevel="1" x14ac:dyDescent="0.2">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row>
    <row r="60" spans="1:137" outlineLevel="1" x14ac:dyDescent="0.2">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row>
    <row r="61" spans="1:137" outlineLevel="1" x14ac:dyDescent="0.2">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row>
    <row r="62" spans="1:137" outlineLevel="1" x14ac:dyDescent="0.2">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row>
    <row r="63" spans="1:137" x14ac:dyDescent="0.2">
      <c r="A63" s="86"/>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row>
    <row r="64" spans="1:137" x14ac:dyDescent="0.2">
      <c r="A64" s="12" t="s">
        <v>69</v>
      </c>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row>
    <row r="65" spans="1:137" outlineLevel="1" x14ac:dyDescent="0.2">
      <c r="A65" s="10"/>
      <c r="B65" s="32"/>
      <c r="C65" s="38" t="str">
        <f>"Cutoff value for prediction of "&amp;$I$2&amp;":"</f>
        <v>Cutoff value for prediction of Yes:</v>
      </c>
      <c r="D65" s="39">
        <f>I65/20</f>
        <v>0.5</v>
      </c>
      <c r="E65" s="61" t="str">
        <f>IF(SUM(D68:D69)=0,"","RMSE =")</f>
        <v>RMSE =</v>
      </c>
      <c r="F65" s="62">
        <f>IF(SUM(D68:D69)=0,"",SQRT(AVERAGE(M75:M174)))</f>
        <v>0.4545789641207254</v>
      </c>
      <c r="G65" s="32"/>
      <c r="H65" s="59">
        <v>1</v>
      </c>
      <c r="I65" s="60">
        <v>10</v>
      </c>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row>
    <row r="66" spans="1:137" outlineLevel="1" x14ac:dyDescent="0.2">
      <c r="A66" s="9"/>
      <c r="B66" s="41" t="s">
        <v>61</v>
      </c>
      <c r="C66" s="34"/>
      <c r="D66" s="34"/>
      <c r="E66" s="34"/>
      <c r="F66" s="34"/>
      <c r="G66" s="41" t="s">
        <v>61</v>
      </c>
      <c r="H66" s="34"/>
      <c r="I66" s="35"/>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row>
    <row r="67" spans="1:137" outlineLevel="1" x14ac:dyDescent="0.2">
      <c r="A67" s="42" t="str">
        <f>"           Actual:"</f>
        <v xml:space="preserve">           Actual:</v>
      </c>
      <c r="B67" s="34" t="str">
        <f>"# "&amp;$H$2</f>
        <v># No</v>
      </c>
      <c r="C67" s="34" t="str">
        <f>"# "&amp;$I$2</f>
        <v># Yes</v>
      </c>
      <c r="D67" s="34" t="s">
        <v>63</v>
      </c>
      <c r="E67" s="34"/>
      <c r="F67" s="41" t="str">
        <f>"           Actual:"</f>
        <v xml:space="preserve">           Actual:</v>
      </c>
      <c r="G67" s="34" t="str">
        <f>"% "&amp;$H$2</f>
        <v>% No</v>
      </c>
      <c r="H67" s="34" t="str">
        <f>"% "&amp;$I$2</f>
        <v>% Yes</v>
      </c>
      <c r="I67" s="35" t="s">
        <v>63</v>
      </c>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row>
    <row r="68" spans="1:137" outlineLevel="1" x14ac:dyDescent="0.2">
      <c r="A68" s="43" t="str">
        <f>"# "&amp;$H$2</f>
        <v># No</v>
      </c>
      <c r="B68" s="51">
        <f>IF(SUM(D68:D69)=0,"",D68-C68)</f>
        <v>30</v>
      </c>
      <c r="C68" s="63">
        <f>IF(SUM(D68:D69)=0,"",SUM(L75:L174))</f>
        <v>19</v>
      </c>
      <c r="D68" s="50">
        <f>COUNTIF(G75:G174,"0")</f>
        <v>49</v>
      </c>
      <c r="E68" s="34"/>
      <c r="F68" s="44" t="str">
        <f>"% "&amp;$H$2</f>
        <v>% No</v>
      </c>
      <c r="G68" s="56">
        <f>IF(SUM(D68:D69)=0,"",B68/SUM(D68:D69))</f>
        <v>0.3</v>
      </c>
      <c r="H68" s="57">
        <f>IF(SUM(D68:D69)=0,"",C68/SUM(D68:D69))</f>
        <v>0.19</v>
      </c>
      <c r="I68" s="55">
        <f>SUM(G68:H68)</f>
        <v>0.49</v>
      </c>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row>
    <row r="69" spans="1:137" outlineLevel="1" x14ac:dyDescent="0.2">
      <c r="A69" s="43" t="str">
        <f>"#  "&amp;$I$2</f>
        <v>#  Yes</v>
      </c>
      <c r="B69" s="64">
        <f>IF(SUM(D68:D69)=0,"",SUM(K75:K174))</f>
        <v>18</v>
      </c>
      <c r="C69" s="65">
        <f>IF(SUM(D68:D69)=0,"",D69-B69)</f>
        <v>33</v>
      </c>
      <c r="D69" s="65">
        <f>COUNTIF(G75:G174,"1")</f>
        <v>51</v>
      </c>
      <c r="E69" s="34"/>
      <c r="F69" s="44" t="str">
        <f>"%  "&amp;$I$2</f>
        <v>%  Yes</v>
      </c>
      <c r="G69" s="66">
        <f>IF(SUM(D68:D69)=0,"",B69/SUM(D68:D69))</f>
        <v>0.18</v>
      </c>
      <c r="H69" s="66">
        <f>IF(SUM(D68:D69)=0,"",C69/SUM(D68:D69))</f>
        <v>0.33</v>
      </c>
      <c r="I69" s="55">
        <f>SUM(G69:H69)</f>
        <v>0.51</v>
      </c>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row>
    <row r="70" spans="1:137" outlineLevel="1" x14ac:dyDescent="0.2">
      <c r="A70" s="43" t="str">
        <f>"Total"</f>
        <v>Total</v>
      </c>
      <c r="B70" s="65">
        <f>D70-C70</f>
        <v>48</v>
      </c>
      <c r="C70" s="65">
        <f>SUM(J75:J174)</f>
        <v>52</v>
      </c>
      <c r="D70" s="65">
        <f>COUNT(J75:J174)</f>
        <v>100</v>
      </c>
      <c r="E70" s="34"/>
      <c r="F70" s="44" t="str">
        <f>"Total"</f>
        <v>Total</v>
      </c>
      <c r="G70" s="58">
        <f>B70/D70</f>
        <v>0.48</v>
      </c>
      <c r="H70" s="58">
        <f>C70/D70</f>
        <v>0.52</v>
      </c>
      <c r="I70" s="55">
        <f>SUM(G70:H70)</f>
        <v>1</v>
      </c>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row>
    <row r="71" spans="1:137" outlineLevel="1" x14ac:dyDescent="0.2">
      <c r="A71" s="45" t="str">
        <f>IF(SUM(D68:D69)=0,"","Percent correct =")</f>
        <v>Percent correct =</v>
      </c>
      <c r="B71" s="67">
        <f>IF(SUM(D68:D69)=0,"",G68+H69)</f>
        <v>0.63</v>
      </c>
      <c r="C71" s="36"/>
      <c r="D71" s="47" t="str">
        <f>IF(SUM(D68:D69)=0,"",IF(D69&gt;0,"True positive rate =",""))</f>
        <v>True positive rate =</v>
      </c>
      <c r="E71" s="67">
        <f>IF(SUM(D68:D69)=0,"",IF(D69&gt;0,H69/I69,0))</f>
        <v>0.6470588235294118</v>
      </c>
      <c r="F71" s="36"/>
      <c r="G71" s="47" t="str">
        <f>IF(SUM(D68:D69)=0,"",IF(H65&gt;0,"True negative rate =",""))</f>
        <v>True negative rate =</v>
      </c>
      <c r="H71" s="67">
        <f>IF(SUM(D68:D69)=0,"",G68/I68)</f>
        <v>0.61224489795918369</v>
      </c>
      <c r="I71" s="37"/>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row>
    <row r="72" spans="1:137" x14ac:dyDescent="0.2">
      <c r="A72" s="85"/>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row>
    <row r="73" spans="1:137" x14ac:dyDescent="0.2">
      <c r="A73" s="12" t="s">
        <v>70</v>
      </c>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row>
    <row r="74" spans="1:137" hidden="1" outlineLevel="1" x14ac:dyDescent="0.2">
      <c r="A74" s="25" t="s">
        <v>71</v>
      </c>
      <c r="B74" s="23" t="s">
        <v>72</v>
      </c>
      <c r="C74" s="23" t="str">
        <f>IF($I$11&gt;99%,("Lower "&amp;TEXT($I$11,"0.0%")),("Lower "&amp;TEXT($I$11,"0%")))</f>
        <v>Lower 95%</v>
      </c>
      <c r="D74" s="23" t="str">
        <f>IF($I$11&gt;99%,("Upper "&amp;TEXT($I$11,"0.0%")),("Upper "&amp;TEXT($I$11,"0%")))</f>
        <v>Upper 95%</v>
      </c>
      <c r="E74" s="23" t="s">
        <v>73</v>
      </c>
      <c r="F74" s="23" t="s">
        <v>74</v>
      </c>
      <c r="G74" s="23" t="s">
        <v>75</v>
      </c>
      <c r="H74" s="26" t="s">
        <v>76</v>
      </c>
      <c r="I74" s="23" t="s">
        <v>35</v>
      </c>
      <c r="J74" s="23" t="s">
        <v>77</v>
      </c>
      <c r="K74" s="23" t="str">
        <f>IF(ISBLANK($A75),"","False neg.")</f>
        <v>False neg.</v>
      </c>
      <c r="L74" s="23" t="str">
        <f>IF(ISBLANK($A75),"","False Pos.")</f>
        <v>False Pos.</v>
      </c>
      <c r="M74" s="23" t="str">
        <f>IF(ISBLANK($A75),"","SqErr")</f>
        <v>SqErr</v>
      </c>
      <c r="N74" s="23" t="s">
        <v>78</v>
      </c>
      <c r="O74" s="23" t="s">
        <v>79</v>
      </c>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row>
    <row r="75" spans="1:137" hidden="1" outlineLevel="1" x14ac:dyDescent="0.2">
      <c r="A75" s="17">
        <v>101</v>
      </c>
      <c r="B75" s="19">
        <f t="shared" ref="B75:B106" si="0">1/(1+EXP(-N75))</f>
        <v>0.28165781176471189</v>
      </c>
      <c r="C75" s="19">
        <f t="shared" ref="C75:C106" si="1">1/(1+EXP(-(N75-$H$11*O75)))</f>
        <v>0.17311280377210073</v>
      </c>
      <c r="D75" s="19">
        <f t="shared" ref="D75:D106" si="2">1/(1+EXP(-(N75+$H$11*O75)))</f>
        <v>0.42341220760950526</v>
      </c>
      <c r="E75" s="19" t="str">
        <f t="shared" ref="E75:E106" si="3">IF(J75=0,$H$2,$I$2)</f>
        <v>No</v>
      </c>
      <c r="F75" s="19" t="str">
        <f t="shared" ref="F75:F106" si="4">IF(G75="","",IF(G75=0,$H$2,$I$2))</f>
        <v>Yes</v>
      </c>
      <c r="G75" s="20">
        <v>1</v>
      </c>
      <c r="H75" s="19">
        <v>13.6</v>
      </c>
      <c r="I75" s="20">
        <v>1</v>
      </c>
      <c r="J75" s="20">
        <f t="shared" ref="J75:J106" si="5">IF($B75&lt;$D$65,0,1)</f>
        <v>0</v>
      </c>
      <c r="K75" s="20">
        <f t="shared" ref="K75:K106" si="6">IF(ISBLANK($G75),"",(IF(AND(J75=0,$G75=1),1,0)))</f>
        <v>1</v>
      </c>
      <c r="L75" s="20">
        <f t="shared" ref="L75:L106" si="7">IF(ISBLANK($G75),"",(IF(AND(J75=1,$G75=0),1,0)))</f>
        <v>0</v>
      </c>
      <c r="M75" s="19">
        <f t="shared" ref="M75:M106" si="8">IF(ISBLANK($G75),"",($B75-$G75)^2)</f>
        <v>0.51601549939866198</v>
      </c>
      <c r="N75" s="19">
        <v>-0.93625314013028138</v>
      </c>
      <c r="O75" s="19">
        <v>0.32014451409801348</v>
      </c>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row>
    <row r="76" spans="1:137" hidden="1" outlineLevel="1" x14ac:dyDescent="0.2">
      <c r="A76" s="17">
        <v>102</v>
      </c>
      <c r="B76" s="19">
        <f t="shared" si="0"/>
        <v>0.28861784989970662</v>
      </c>
      <c r="C76" s="19">
        <f t="shared" si="1"/>
        <v>0.17904124419408082</v>
      </c>
      <c r="D76" s="19">
        <f t="shared" si="2"/>
        <v>0.43012139803205574</v>
      </c>
      <c r="E76" s="19" t="str">
        <f t="shared" si="3"/>
        <v>No</v>
      </c>
      <c r="F76" s="19" t="str">
        <f t="shared" si="4"/>
        <v>Yes</v>
      </c>
      <c r="G76" s="20">
        <v>1</v>
      </c>
      <c r="H76" s="19">
        <v>13.7</v>
      </c>
      <c r="I76" s="20">
        <v>1</v>
      </c>
      <c r="J76" s="20">
        <f t="shared" si="5"/>
        <v>0</v>
      </c>
      <c r="K76" s="20">
        <f t="shared" si="6"/>
        <v>1</v>
      </c>
      <c r="L76" s="20">
        <f t="shared" si="7"/>
        <v>0</v>
      </c>
      <c r="M76" s="19">
        <f t="shared" si="8"/>
        <v>0.50606456348131634</v>
      </c>
      <c r="N76" s="19">
        <v>-0.90210627357993989</v>
      </c>
      <c r="O76" s="19">
        <v>0.31671520965788807</v>
      </c>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row>
    <row r="77" spans="1:137" hidden="1" outlineLevel="1" x14ac:dyDescent="0.2">
      <c r="A77" s="17">
        <v>103</v>
      </c>
      <c r="B77" s="19">
        <f t="shared" si="0"/>
        <v>0.65350973828766967</v>
      </c>
      <c r="C77" s="19">
        <f t="shared" si="1"/>
        <v>0.50869944913077103</v>
      </c>
      <c r="D77" s="19">
        <f t="shared" si="2"/>
        <v>0.77455354885982897</v>
      </c>
      <c r="E77" s="19" t="str">
        <f t="shared" si="3"/>
        <v>Yes</v>
      </c>
      <c r="F77" s="19" t="str">
        <f t="shared" si="4"/>
        <v>No</v>
      </c>
      <c r="G77" s="20">
        <v>0</v>
      </c>
      <c r="H77" s="19">
        <v>18.2</v>
      </c>
      <c r="I77" s="20">
        <v>1</v>
      </c>
      <c r="J77" s="20">
        <f t="shared" si="5"/>
        <v>1</v>
      </c>
      <c r="K77" s="20">
        <f t="shared" si="6"/>
        <v>0</v>
      </c>
      <c r="L77" s="20">
        <f t="shared" si="7"/>
        <v>1</v>
      </c>
      <c r="M77" s="19">
        <f t="shared" si="8"/>
        <v>0.42707497803681849</v>
      </c>
      <c r="N77" s="19">
        <v>0.6345027211854406</v>
      </c>
      <c r="O77" s="19">
        <v>0.30597573088377777</v>
      </c>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row>
    <row r="78" spans="1:137" hidden="1" outlineLevel="1" x14ac:dyDescent="0.2">
      <c r="A78" s="17">
        <v>104</v>
      </c>
      <c r="B78" s="19">
        <f t="shared" si="0"/>
        <v>0.97833515299775708</v>
      </c>
      <c r="C78" s="19">
        <f t="shared" si="1"/>
        <v>0.90315841176671297</v>
      </c>
      <c r="D78" s="19">
        <f t="shared" si="2"/>
        <v>0.99544743353986698</v>
      </c>
      <c r="E78" s="19" t="str">
        <f t="shared" si="3"/>
        <v>Yes</v>
      </c>
      <c r="F78" s="19" t="str">
        <f t="shared" si="4"/>
        <v>Yes</v>
      </c>
      <c r="G78" s="20">
        <v>1</v>
      </c>
      <c r="H78" s="19">
        <v>27.5</v>
      </c>
      <c r="I78" s="20">
        <v>1</v>
      </c>
      <c r="J78" s="20">
        <f t="shared" si="5"/>
        <v>1</v>
      </c>
      <c r="K78" s="20">
        <f t="shared" si="6"/>
        <v>0</v>
      </c>
      <c r="L78" s="20">
        <f t="shared" si="7"/>
        <v>0</v>
      </c>
      <c r="M78" s="19">
        <f t="shared" si="8"/>
        <v>4.693655956305938E-4</v>
      </c>
      <c r="N78" s="19">
        <v>3.8101613103672269</v>
      </c>
      <c r="O78" s="19">
        <v>0.80478003115960106</v>
      </c>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row>
    <row r="79" spans="1:137" hidden="1" outlineLevel="1" x14ac:dyDescent="0.2">
      <c r="A79" s="17">
        <v>105</v>
      </c>
      <c r="B79" s="19">
        <f t="shared" si="0"/>
        <v>0.66880749020749397</v>
      </c>
      <c r="C79" s="19">
        <f t="shared" si="1"/>
        <v>0.5226970617807748</v>
      </c>
      <c r="D79" s="19">
        <f t="shared" si="2"/>
        <v>0.78830561958206269</v>
      </c>
      <c r="E79" s="19" t="str">
        <f t="shared" si="3"/>
        <v>Yes</v>
      </c>
      <c r="F79" s="19" t="str">
        <f t="shared" si="4"/>
        <v>No</v>
      </c>
      <c r="G79" s="20">
        <v>0</v>
      </c>
      <c r="H79" s="19">
        <v>18.399999999999999</v>
      </c>
      <c r="I79" s="20">
        <v>1</v>
      </c>
      <c r="J79" s="20">
        <f t="shared" si="5"/>
        <v>1</v>
      </c>
      <c r="K79" s="20">
        <f t="shared" si="6"/>
        <v>0</v>
      </c>
      <c r="L79" s="20">
        <f t="shared" si="7"/>
        <v>1</v>
      </c>
      <c r="M79" s="19">
        <f t="shared" si="8"/>
        <v>0.44730345895764717</v>
      </c>
      <c r="N79" s="19">
        <v>0.70279645428612358</v>
      </c>
      <c r="O79" s="19">
        <v>0.31222296662305771</v>
      </c>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row>
    <row r="80" spans="1:137" hidden="1" outlineLevel="1" x14ac:dyDescent="0.2">
      <c r="A80" s="17">
        <v>106</v>
      </c>
      <c r="B80" s="19">
        <f t="shared" si="0"/>
        <v>0.92014263927163664</v>
      </c>
      <c r="C80" s="19">
        <f t="shared" si="1"/>
        <v>0.79302758719055744</v>
      </c>
      <c r="D80" s="19">
        <f t="shared" si="2"/>
        <v>0.97194959294078076</v>
      </c>
      <c r="E80" s="19" t="str">
        <f t="shared" si="3"/>
        <v>Yes</v>
      </c>
      <c r="F80" s="19" t="str">
        <f t="shared" si="4"/>
        <v>Yes</v>
      </c>
      <c r="G80" s="20">
        <v>1</v>
      </c>
      <c r="H80" s="19">
        <v>23.5</v>
      </c>
      <c r="I80" s="20">
        <v>1</v>
      </c>
      <c r="J80" s="20">
        <f t="shared" si="5"/>
        <v>1</v>
      </c>
      <c r="K80" s="20">
        <f t="shared" si="6"/>
        <v>0</v>
      </c>
      <c r="L80" s="20">
        <f t="shared" si="7"/>
        <v>0</v>
      </c>
      <c r="M80" s="19">
        <f t="shared" si="8"/>
        <v>6.3771980624999502E-3</v>
      </c>
      <c r="N80" s="19">
        <v>2.4442866483535548</v>
      </c>
      <c r="O80" s="19">
        <v>0.56175223654815132</v>
      </c>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row>
    <row r="81" spans="1:137" hidden="1" outlineLevel="1" x14ac:dyDescent="0.2">
      <c r="A81" s="17">
        <v>107</v>
      </c>
      <c r="B81" s="19">
        <f t="shared" si="0"/>
        <v>0.22381432891113526</v>
      </c>
      <c r="C81" s="19">
        <f t="shared" si="1"/>
        <v>0.12568590373012747</v>
      </c>
      <c r="D81" s="19">
        <f t="shared" si="2"/>
        <v>0.36644551472062686</v>
      </c>
      <c r="E81" s="19" t="str">
        <f t="shared" si="3"/>
        <v>No</v>
      </c>
      <c r="F81" s="19" t="str">
        <f t="shared" si="4"/>
        <v>No</v>
      </c>
      <c r="G81" s="20">
        <v>0</v>
      </c>
      <c r="H81" s="19">
        <v>12.7</v>
      </c>
      <c r="I81" s="20">
        <v>1</v>
      </c>
      <c r="J81" s="20">
        <f t="shared" si="5"/>
        <v>0</v>
      </c>
      <c r="K81" s="20">
        <f t="shared" si="6"/>
        <v>0</v>
      </c>
      <c r="L81" s="20">
        <f t="shared" si="7"/>
        <v>0</v>
      </c>
      <c r="M81" s="19">
        <f t="shared" si="8"/>
        <v>5.0092853825941835E-2</v>
      </c>
      <c r="N81" s="19">
        <v>-1.2435749390833575</v>
      </c>
      <c r="O81" s="19">
        <v>0.35514876203859508</v>
      </c>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row>
    <row r="82" spans="1:137" hidden="1" outlineLevel="1" x14ac:dyDescent="0.2">
      <c r="A82" s="17">
        <v>108</v>
      </c>
      <c r="B82" s="19">
        <f t="shared" si="0"/>
        <v>0.88782067930401098</v>
      </c>
      <c r="C82" s="19">
        <f t="shared" si="1"/>
        <v>0.74848235186860612</v>
      </c>
      <c r="D82" s="19">
        <f t="shared" si="2"/>
        <v>0.95464450839426085</v>
      </c>
      <c r="E82" s="19" t="str">
        <f t="shared" si="3"/>
        <v>Yes</v>
      </c>
      <c r="F82" s="19" t="str">
        <f t="shared" si="4"/>
        <v>No</v>
      </c>
      <c r="G82" s="20">
        <v>0</v>
      </c>
      <c r="H82" s="19">
        <v>22.4</v>
      </c>
      <c r="I82" s="20">
        <v>1</v>
      </c>
      <c r="J82" s="20">
        <f t="shared" si="5"/>
        <v>1</v>
      </c>
      <c r="K82" s="20">
        <f t="shared" si="6"/>
        <v>0</v>
      </c>
      <c r="L82" s="20">
        <f t="shared" si="7"/>
        <v>1</v>
      </c>
      <c r="M82" s="19">
        <f t="shared" si="8"/>
        <v>0.78822555859983556</v>
      </c>
      <c r="N82" s="19">
        <v>2.0686711162997957</v>
      </c>
      <c r="O82" s="19">
        <v>0.49905848117916202</v>
      </c>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row>
    <row r="83" spans="1:137" hidden="1" outlineLevel="1" x14ac:dyDescent="0.2">
      <c r="A83" s="17">
        <v>109</v>
      </c>
      <c r="B83" s="19">
        <f t="shared" si="0"/>
        <v>0.65350973828766967</v>
      </c>
      <c r="C83" s="19">
        <f t="shared" si="1"/>
        <v>0.50869944913077103</v>
      </c>
      <c r="D83" s="19">
        <f t="shared" si="2"/>
        <v>0.77455354885982897</v>
      </c>
      <c r="E83" s="19" t="str">
        <f t="shared" si="3"/>
        <v>Yes</v>
      </c>
      <c r="F83" s="19" t="str">
        <f t="shared" si="4"/>
        <v>No</v>
      </c>
      <c r="G83" s="20">
        <v>0</v>
      </c>
      <c r="H83" s="19">
        <v>18.2</v>
      </c>
      <c r="I83" s="20">
        <v>1</v>
      </c>
      <c r="J83" s="20">
        <f t="shared" si="5"/>
        <v>1</v>
      </c>
      <c r="K83" s="20">
        <f t="shared" si="6"/>
        <v>0</v>
      </c>
      <c r="L83" s="20">
        <f t="shared" si="7"/>
        <v>1</v>
      </c>
      <c r="M83" s="19">
        <f t="shared" si="8"/>
        <v>0.42707497803681849</v>
      </c>
      <c r="N83" s="19">
        <v>0.6345027211854406</v>
      </c>
      <c r="O83" s="19">
        <v>0.30597573088377777</v>
      </c>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row>
    <row r="84" spans="1:137" hidden="1" outlineLevel="1" x14ac:dyDescent="0.2">
      <c r="A84" s="17">
        <v>110</v>
      </c>
      <c r="B84" s="19">
        <f t="shared" si="0"/>
        <v>0.54750464704437496</v>
      </c>
      <c r="C84" s="19">
        <f t="shared" si="1"/>
        <v>0.41246355500156012</v>
      </c>
      <c r="D84" s="19">
        <f t="shared" si="2"/>
        <v>0.67589656380116969</v>
      </c>
      <c r="E84" s="19" t="str">
        <f t="shared" si="3"/>
        <v>Yes</v>
      </c>
      <c r="F84" s="19" t="str">
        <f t="shared" si="4"/>
        <v>No</v>
      </c>
      <c r="G84" s="20">
        <v>0</v>
      </c>
      <c r="H84" s="19">
        <v>16.899999999999999</v>
      </c>
      <c r="I84" s="20">
        <v>1</v>
      </c>
      <c r="J84" s="20">
        <f t="shared" si="5"/>
        <v>1</v>
      </c>
      <c r="K84" s="20">
        <f t="shared" si="6"/>
        <v>0</v>
      </c>
      <c r="L84" s="20">
        <f t="shared" si="7"/>
        <v>1</v>
      </c>
      <c r="M84" s="19">
        <f t="shared" si="8"/>
        <v>0.29976133853518561</v>
      </c>
      <c r="N84" s="19">
        <v>0.19059345603099676</v>
      </c>
      <c r="O84" s="19">
        <v>0.27775198325023631</v>
      </c>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row>
    <row r="85" spans="1:137" hidden="1" outlineLevel="1" x14ac:dyDescent="0.2">
      <c r="A85" s="17">
        <v>111</v>
      </c>
      <c r="B85" s="19">
        <f t="shared" si="0"/>
        <v>7.7782678678947281E-2</v>
      </c>
      <c r="C85" s="19">
        <f t="shared" si="1"/>
        <v>2.8397986519786662E-2</v>
      </c>
      <c r="D85" s="19">
        <f t="shared" si="2"/>
        <v>0.19574615639928009</v>
      </c>
      <c r="E85" s="19" t="str">
        <f t="shared" si="3"/>
        <v>No</v>
      </c>
      <c r="F85" s="19" t="str">
        <f t="shared" si="4"/>
        <v>No</v>
      </c>
      <c r="G85" s="20">
        <v>0</v>
      </c>
      <c r="H85" s="19">
        <v>9.1</v>
      </c>
      <c r="I85" s="20">
        <v>1</v>
      </c>
      <c r="J85" s="20">
        <f t="shared" si="5"/>
        <v>0</v>
      </c>
      <c r="K85" s="20">
        <f t="shared" si="6"/>
        <v>0</v>
      </c>
      <c r="L85" s="20">
        <f t="shared" si="7"/>
        <v>0</v>
      </c>
      <c r="M85" s="19">
        <f t="shared" si="8"/>
        <v>6.0501451024723603E-3</v>
      </c>
      <c r="N85" s="19">
        <v>-2.4728621348956619</v>
      </c>
      <c r="O85" s="19">
        <v>0.54070681780930407</v>
      </c>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row>
    <row r="86" spans="1:137" hidden="1" outlineLevel="1" x14ac:dyDescent="0.2">
      <c r="A86" s="17">
        <v>112</v>
      </c>
      <c r="B86" s="19">
        <f t="shared" si="0"/>
        <v>0.86171919848824308</v>
      </c>
      <c r="C86" s="19">
        <f t="shared" si="1"/>
        <v>0.716373449550332</v>
      </c>
      <c r="D86" s="19">
        <f t="shared" si="2"/>
        <v>0.93893130277095882</v>
      </c>
      <c r="E86" s="19" t="str">
        <f t="shared" si="3"/>
        <v>Yes</v>
      </c>
      <c r="F86" s="19" t="str">
        <f t="shared" si="4"/>
        <v>No</v>
      </c>
      <c r="G86" s="20">
        <v>0</v>
      </c>
      <c r="H86" s="19">
        <v>21.7</v>
      </c>
      <c r="I86" s="20">
        <v>1</v>
      </c>
      <c r="J86" s="20">
        <f t="shared" si="5"/>
        <v>1</v>
      </c>
      <c r="K86" s="20">
        <f t="shared" si="6"/>
        <v>0</v>
      </c>
      <c r="L86" s="20">
        <f t="shared" si="7"/>
        <v>1</v>
      </c>
      <c r="M86" s="19">
        <f t="shared" si="8"/>
        <v>0.74255997704322008</v>
      </c>
      <c r="N86" s="19">
        <v>1.8296430504474035</v>
      </c>
      <c r="O86" s="19">
        <v>0.46077369718697692</v>
      </c>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row>
    <row r="87" spans="1:137" hidden="1" outlineLevel="1" x14ac:dyDescent="0.2">
      <c r="A87" s="17">
        <v>113</v>
      </c>
      <c r="B87" s="19">
        <f t="shared" si="0"/>
        <v>0.78875548262116024</v>
      </c>
      <c r="C87" s="19">
        <f t="shared" si="1"/>
        <v>0.63714468851215011</v>
      </c>
      <c r="D87" s="19">
        <f t="shared" si="2"/>
        <v>0.888140615864359</v>
      </c>
      <c r="E87" s="19" t="str">
        <f t="shared" si="3"/>
        <v>Yes</v>
      </c>
      <c r="F87" s="19" t="str">
        <f t="shared" si="4"/>
        <v>No</v>
      </c>
      <c r="G87" s="20">
        <v>0</v>
      </c>
      <c r="H87" s="19">
        <v>20.2</v>
      </c>
      <c r="I87" s="20">
        <v>1</v>
      </c>
      <c r="J87" s="20">
        <f t="shared" si="5"/>
        <v>1</v>
      </c>
      <c r="K87" s="20">
        <f t="shared" si="6"/>
        <v>0</v>
      </c>
      <c r="L87" s="20">
        <f t="shared" si="7"/>
        <v>1</v>
      </c>
      <c r="M87" s="19">
        <f t="shared" si="8"/>
        <v>0.62213521136493943</v>
      </c>
      <c r="N87" s="19">
        <v>1.3174400521922767</v>
      </c>
      <c r="O87" s="19">
        <v>0.38492923936662937</v>
      </c>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row>
    <row r="88" spans="1:137" hidden="1" outlineLevel="1" x14ac:dyDescent="0.2">
      <c r="A88" s="17">
        <v>114</v>
      </c>
      <c r="B88" s="19">
        <f t="shared" si="0"/>
        <v>0.74619334887940547</v>
      </c>
      <c r="C88" s="19">
        <f t="shared" si="1"/>
        <v>0.59515478336270766</v>
      </c>
      <c r="D88" s="19">
        <f t="shared" si="2"/>
        <v>0.85464501514009439</v>
      </c>
      <c r="E88" s="19" t="str">
        <f t="shared" si="3"/>
        <v>Yes</v>
      </c>
      <c r="F88" s="19" t="str">
        <f t="shared" si="4"/>
        <v>Yes</v>
      </c>
      <c r="G88" s="20">
        <v>1</v>
      </c>
      <c r="H88" s="19">
        <v>19.5</v>
      </c>
      <c r="I88" s="20">
        <v>1</v>
      </c>
      <c r="J88" s="20">
        <f t="shared" si="5"/>
        <v>1</v>
      </c>
      <c r="K88" s="20">
        <f t="shared" si="6"/>
        <v>0</v>
      </c>
      <c r="L88" s="20">
        <f t="shared" si="7"/>
        <v>0</v>
      </c>
      <c r="M88" s="19">
        <f t="shared" si="8"/>
        <v>6.4417816153051186E-2</v>
      </c>
      <c r="N88" s="19">
        <v>1.0784119863398844</v>
      </c>
      <c r="O88" s="19">
        <v>0.35362654257971399</v>
      </c>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row>
    <row r="89" spans="1:137" hidden="1" outlineLevel="1" x14ac:dyDescent="0.2">
      <c r="A89" s="17">
        <v>115</v>
      </c>
      <c r="B89" s="19">
        <f t="shared" si="0"/>
        <v>0.86965783199985724</v>
      </c>
      <c r="C89" s="19">
        <f t="shared" si="1"/>
        <v>0.72585551520621905</v>
      </c>
      <c r="D89" s="19">
        <f t="shared" si="2"/>
        <v>0.94386257475128532</v>
      </c>
      <c r="E89" s="19" t="str">
        <f t="shared" si="3"/>
        <v>Yes</v>
      </c>
      <c r="F89" s="19" t="str">
        <f t="shared" si="4"/>
        <v>Yes</v>
      </c>
      <c r="G89" s="20">
        <v>1</v>
      </c>
      <c r="H89" s="19">
        <v>21.9</v>
      </c>
      <c r="I89" s="20">
        <v>1</v>
      </c>
      <c r="J89" s="20">
        <f t="shared" si="5"/>
        <v>1</v>
      </c>
      <c r="K89" s="20">
        <f t="shared" si="6"/>
        <v>0</v>
      </c>
      <c r="L89" s="20">
        <f t="shared" si="7"/>
        <v>0</v>
      </c>
      <c r="M89" s="19">
        <f t="shared" si="8"/>
        <v>1.6989080758977437E-2</v>
      </c>
      <c r="N89" s="19">
        <v>1.8979367835480865</v>
      </c>
      <c r="O89" s="19">
        <v>0.47156024031982496</v>
      </c>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row>
    <row r="90" spans="1:137" hidden="1" outlineLevel="1" x14ac:dyDescent="0.2">
      <c r="A90" s="17">
        <v>116</v>
      </c>
      <c r="B90" s="19">
        <f t="shared" si="0"/>
        <v>8.2824995727925357E-2</v>
      </c>
      <c r="C90" s="19">
        <f t="shared" si="1"/>
        <v>3.1011163956710996E-2</v>
      </c>
      <c r="D90" s="19">
        <f t="shared" si="2"/>
        <v>0.20306759165337021</v>
      </c>
      <c r="E90" s="19" t="str">
        <f t="shared" si="3"/>
        <v>No</v>
      </c>
      <c r="F90" s="19" t="str">
        <f t="shared" si="4"/>
        <v>Yes</v>
      </c>
      <c r="G90" s="20">
        <v>1</v>
      </c>
      <c r="H90" s="19">
        <v>9.3000000000000007</v>
      </c>
      <c r="I90" s="20">
        <v>1</v>
      </c>
      <c r="J90" s="20">
        <f t="shared" si="5"/>
        <v>0</v>
      </c>
      <c r="K90" s="20">
        <f t="shared" si="6"/>
        <v>1</v>
      </c>
      <c r="L90" s="20">
        <f t="shared" si="7"/>
        <v>0</v>
      </c>
      <c r="M90" s="19">
        <f t="shared" si="8"/>
        <v>0.84120998846148021</v>
      </c>
      <c r="N90" s="19">
        <v>-2.404568401794978</v>
      </c>
      <c r="O90" s="19">
        <v>0.5292635118859611</v>
      </c>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row>
    <row r="91" spans="1:137" hidden="1" outlineLevel="1" x14ac:dyDescent="0.2">
      <c r="A91" s="17">
        <v>117</v>
      </c>
      <c r="B91" s="19">
        <f t="shared" si="0"/>
        <v>0.31744927445256343</v>
      </c>
      <c r="C91" s="19">
        <f t="shared" si="1"/>
        <v>0.20399959079835869</v>
      </c>
      <c r="D91" s="19">
        <f t="shared" si="2"/>
        <v>0.45771228729858032</v>
      </c>
      <c r="E91" s="19" t="str">
        <f t="shared" si="3"/>
        <v>No</v>
      </c>
      <c r="F91" s="19" t="str">
        <f t="shared" si="4"/>
        <v>No</v>
      </c>
      <c r="G91" s="20">
        <v>0</v>
      </c>
      <c r="H91" s="19">
        <v>14.1</v>
      </c>
      <c r="I91" s="20">
        <v>1</v>
      </c>
      <c r="J91" s="20">
        <f t="shared" si="5"/>
        <v>0</v>
      </c>
      <c r="K91" s="20">
        <f t="shared" si="6"/>
        <v>0</v>
      </c>
      <c r="L91" s="20">
        <f t="shared" si="7"/>
        <v>0</v>
      </c>
      <c r="M91" s="19">
        <f t="shared" si="8"/>
        <v>0.10077404185045895</v>
      </c>
      <c r="N91" s="19">
        <v>-0.76551880737857214</v>
      </c>
      <c r="O91" s="19">
        <v>0.30406829374782696</v>
      </c>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row>
    <row r="92" spans="1:137" hidden="1" outlineLevel="1" x14ac:dyDescent="0.2">
      <c r="A92" s="17">
        <v>118</v>
      </c>
      <c r="B92" s="19">
        <f t="shared" si="0"/>
        <v>0.79991029278373105</v>
      </c>
      <c r="C92" s="19">
        <f t="shared" si="1"/>
        <v>0.6485500490581122</v>
      </c>
      <c r="D92" s="19">
        <f t="shared" si="2"/>
        <v>0.89648784666506676</v>
      </c>
      <c r="E92" s="19" t="str">
        <f t="shared" si="3"/>
        <v>Yes</v>
      </c>
      <c r="F92" s="19" t="str">
        <f t="shared" si="4"/>
        <v>No</v>
      </c>
      <c r="G92" s="20">
        <v>0</v>
      </c>
      <c r="H92" s="19">
        <v>20.399999999999999</v>
      </c>
      <c r="I92" s="20">
        <v>1</v>
      </c>
      <c r="J92" s="20">
        <f t="shared" si="5"/>
        <v>1</v>
      </c>
      <c r="K92" s="20">
        <f t="shared" si="6"/>
        <v>0</v>
      </c>
      <c r="L92" s="20">
        <f t="shared" si="7"/>
        <v>1</v>
      </c>
      <c r="M92" s="19">
        <f t="shared" si="8"/>
        <v>0.63985647650135435</v>
      </c>
      <c r="N92" s="19">
        <v>1.3857337852929597</v>
      </c>
      <c r="O92" s="19">
        <v>0.39442659558823323</v>
      </c>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row>
    <row r="93" spans="1:137" hidden="1" outlineLevel="1" x14ac:dyDescent="0.2">
      <c r="A93" s="17">
        <v>119</v>
      </c>
      <c r="B93" s="19">
        <f t="shared" si="0"/>
        <v>0.92501905907436011</v>
      </c>
      <c r="C93" s="19">
        <f t="shared" si="1"/>
        <v>0.8003849479854569</v>
      </c>
      <c r="D93" s="19">
        <f t="shared" si="2"/>
        <v>0.97433079227587027</v>
      </c>
      <c r="E93" s="19" t="str">
        <f t="shared" si="3"/>
        <v>Yes</v>
      </c>
      <c r="F93" s="19" t="str">
        <f t="shared" si="4"/>
        <v>Yes</v>
      </c>
      <c r="G93" s="20">
        <v>1</v>
      </c>
      <c r="H93" s="19">
        <v>23.7</v>
      </c>
      <c r="I93" s="20">
        <v>1</v>
      </c>
      <c r="J93" s="20">
        <f t="shared" si="5"/>
        <v>1</v>
      </c>
      <c r="K93" s="20">
        <f t="shared" si="6"/>
        <v>0</v>
      </c>
      <c r="L93" s="20">
        <f t="shared" si="7"/>
        <v>0</v>
      </c>
      <c r="M93" s="19">
        <f t="shared" si="8"/>
        <v>5.6221415020942999E-3</v>
      </c>
      <c r="N93" s="19">
        <v>2.5125803814542396</v>
      </c>
      <c r="O93" s="19">
        <v>0.57341786141504592</v>
      </c>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row>
    <row r="94" spans="1:137" hidden="1" outlineLevel="1" x14ac:dyDescent="0.2">
      <c r="A94" s="17">
        <v>120</v>
      </c>
      <c r="B94" s="19">
        <f t="shared" si="0"/>
        <v>0.90072074041526484</v>
      </c>
      <c r="C94" s="19">
        <f t="shared" si="1"/>
        <v>0.76549718396101052</v>
      </c>
      <c r="D94" s="19">
        <f t="shared" si="2"/>
        <v>0.96185464047349234</v>
      </c>
      <c r="E94" s="19" t="str">
        <f t="shared" si="3"/>
        <v>Yes</v>
      </c>
      <c r="F94" s="19" t="str">
        <f t="shared" si="4"/>
        <v>Yes</v>
      </c>
      <c r="G94" s="20">
        <v>1</v>
      </c>
      <c r="H94" s="19">
        <v>22.8</v>
      </c>
      <c r="I94" s="20">
        <v>1</v>
      </c>
      <c r="J94" s="20">
        <f t="shared" si="5"/>
        <v>1</v>
      </c>
      <c r="K94" s="20">
        <f t="shared" si="6"/>
        <v>0</v>
      </c>
      <c r="L94" s="20">
        <f t="shared" si="7"/>
        <v>0</v>
      </c>
      <c r="M94" s="19">
        <f t="shared" si="8"/>
        <v>9.8563713836932274E-3</v>
      </c>
      <c r="N94" s="19">
        <v>2.2052585825011635</v>
      </c>
      <c r="O94" s="19">
        <v>0.52154052353757785</v>
      </c>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row>
    <row r="95" spans="1:137" hidden="1" outlineLevel="1" x14ac:dyDescent="0.2">
      <c r="A95" s="17">
        <v>121</v>
      </c>
      <c r="B95" s="19">
        <f t="shared" si="0"/>
        <v>0.2421121557910898</v>
      </c>
      <c r="C95" s="19">
        <f t="shared" si="1"/>
        <v>0.14029439819369313</v>
      </c>
      <c r="D95" s="19">
        <f t="shared" si="2"/>
        <v>0.38475312133253209</v>
      </c>
      <c r="E95" s="19" t="str">
        <f t="shared" si="3"/>
        <v>No</v>
      </c>
      <c r="F95" s="19" t="str">
        <f t="shared" si="4"/>
        <v>No</v>
      </c>
      <c r="G95" s="20">
        <v>0</v>
      </c>
      <c r="H95" s="19">
        <v>13</v>
      </c>
      <c r="I95" s="20">
        <v>1</v>
      </c>
      <c r="J95" s="20">
        <f t="shared" si="5"/>
        <v>0</v>
      </c>
      <c r="K95" s="20">
        <f t="shared" si="6"/>
        <v>0</v>
      </c>
      <c r="L95" s="20">
        <f t="shared" si="7"/>
        <v>0</v>
      </c>
      <c r="M95" s="19">
        <f t="shared" si="8"/>
        <v>5.8618295981808941E-2</v>
      </c>
      <c r="N95" s="19">
        <v>-1.1411343394323321</v>
      </c>
      <c r="O95" s="19">
        <v>0.34271681217553435</v>
      </c>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row>
    <row r="96" spans="1:137" hidden="1" outlineLevel="1" x14ac:dyDescent="0.2">
      <c r="A96" s="17">
        <v>122</v>
      </c>
      <c r="B96" s="19">
        <f t="shared" si="0"/>
        <v>0.8533785721369459</v>
      </c>
      <c r="C96" s="19">
        <f t="shared" si="1"/>
        <v>0.70664120231598448</v>
      </c>
      <c r="D96" s="19">
        <f t="shared" si="2"/>
        <v>0.93361369818870776</v>
      </c>
      <c r="E96" s="19" t="str">
        <f t="shared" si="3"/>
        <v>Yes</v>
      </c>
      <c r="F96" s="19" t="str">
        <f t="shared" si="4"/>
        <v>No</v>
      </c>
      <c r="G96" s="20">
        <v>0</v>
      </c>
      <c r="H96" s="19">
        <v>21.5</v>
      </c>
      <c r="I96" s="20">
        <v>1</v>
      </c>
      <c r="J96" s="20">
        <f t="shared" si="5"/>
        <v>1</v>
      </c>
      <c r="K96" s="20">
        <f t="shared" si="6"/>
        <v>0</v>
      </c>
      <c r="L96" s="20">
        <f t="shared" si="7"/>
        <v>1</v>
      </c>
      <c r="M96" s="19">
        <f t="shared" si="8"/>
        <v>0.72825498738249261</v>
      </c>
      <c r="N96" s="19">
        <v>1.7613493173467196</v>
      </c>
      <c r="O96" s="19">
        <v>0.45012189292158683</v>
      </c>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row>
    <row r="97" spans="1:137" hidden="1" outlineLevel="1" x14ac:dyDescent="0.2">
      <c r="A97" s="17">
        <v>123</v>
      </c>
      <c r="B97" s="19">
        <f t="shared" si="0"/>
        <v>1.4084452144028236E-2</v>
      </c>
      <c r="C97" s="19">
        <f t="shared" si="1"/>
        <v>2.6546981959465225E-3</v>
      </c>
      <c r="D97" s="19">
        <f t="shared" si="2"/>
        <v>7.1211130402910411E-2</v>
      </c>
      <c r="E97" s="19" t="str">
        <f t="shared" si="3"/>
        <v>No</v>
      </c>
      <c r="F97" s="19" t="str">
        <f t="shared" si="4"/>
        <v>No</v>
      </c>
      <c r="G97" s="20">
        <v>0</v>
      </c>
      <c r="H97" s="19">
        <v>3.9</v>
      </c>
      <c r="I97" s="20">
        <v>1</v>
      </c>
      <c r="J97" s="20">
        <f t="shared" si="5"/>
        <v>0</v>
      </c>
      <c r="K97" s="20">
        <f t="shared" si="6"/>
        <v>0</v>
      </c>
      <c r="L97" s="20">
        <f t="shared" si="7"/>
        <v>0</v>
      </c>
      <c r="M97" s="19">
        <f t="shared" si="8"/>
        <v>1.9837179219742157E-4</v>
      </c>
      <c r="N97" s="19">
        <v>-4.2484991955134346</v>
      </c>
      <c r="O97" s="19">
        <v>0.85729477387192066</v>
      </c>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row>
    <row r="98" spans="1:137" hidden="1" outlineLevel="1" x14ac:dyDescent="0.2">
      <c r="A98" s="17">
        <v>124</v>
      </c>
      <c r="B98" s="19">
        <f t="shared" si="0"/>
        <v>0.85759980369551836</v>
      </c>
      <c r="C98" s="19">
        <f t="shared" si="1"/>
        <v>0.71153874298170217</v>
      </c>
      <c r="D98" s="19">
        <f t="shared" si="2"/>
        <v>0.93632217795307982</v>
      </c>
      <c r="E98" s="19" t="str">
        <f t="shared" si="3"/>
        <v>Yes</v>
      </c>
      <c r="F98" s="19" t="str">
        <f t="shared" si="4"/>
        <v>Yes</v>
      </c>
      <c r="G98" s="20">
        <v>1</v>
      </c>
      <c r="H98" s="19">
        <v>21.6</v>
      </c>
      <c r="I98" s="20">
        <v>1</v>
      </c>
      <c r="J98" s="20">
        <f t="shared" si="5"/>
        <v>1</v>
      </c>
      <c r="K98" s="20">
        <f t="shared" si="6"/>
        <v>0</v>
      </c>
      <c r="L98" s="20">
        <f t="shared" si="7"/>
        <v>0</v>
      </c>
      <c r="M98" s="19">
        <f t="shared" si="8"/>
        <v>2.0277815907554907E-2</v>
      </c>
      <c r="N98" s="19">
        <v>1.795496183897062</v>
      </c>
      <c r="O98" s="19">
        <v>0.45543035901875062</v>
      </c>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row>
    <row r="99" spans="1:137" hidden="1" outlineLevel="1" x14ac:dyDescent="0.2">
      <c r="A99" s="17">
        <v>125</v>
      </c>
      <c r="B99" s="19">
        <f t="shared" si="0"/>
        <v>0.31744927445256343</v>
      </c>
      <c r="C99" s="19">
        <f t="shared" si="1"/>
        <v>0.20399959079835869</v>
      </c>
      <c r="D99" s="19">
        <f t="shared" si="2"/>
        <v>0.45771228729858032</v>
      </c>
      <c r="E99" s="19" t="str">
        <f t="shared" si="3"/>
        <v>No</v>
      </c>
      <c r="F99" s="19" t="str">
        <f t="shared" si="4"/>
        <v>No</v>
      </c>
      <c r="G99" s="20">
        <v>0</v>
      </c>
      <c r="H99" s="19">
        <v>14.1</v>
      </c>
      <c r="I99" s="20">
        <v>1</v>
      </c>
      <c r="J99" s="20">
        <f t="shared" si="5"/>
        <v>0</v>
      </c>
      <c r="K99" s="20">
        <f t="shared" si="6"/>
        <v>0</v>
      </c>
      <c r="L99" s="20">
        <f t="shared" si="7"/>
        <v>0</v>
      </c>
      <c r="M99" s="19">
        <f t="shared" si="8"/>
        <v>0.10077404185045895</v>
      </c>
      <c r="N99" s="19">
        <v>-0.76551880737857214</v>
      </c>
      <c r="O99" s="19">
        <v>0.30406829374782696</v>
      </c>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row>
    <row r="100" spans="1:137" hidden="1" outlineLevel="1" x14ac:dyDescent="0.2">
      <c r="A100" s="17">
        <v>126</v>
      </c>
      <c r="B100" s="19">
        <f t="shared" si="0"/>
        <v>0.43700753444835833</v>
      </c>
      <c r="C100" s="19">
        <f t="shared" si="1"/>
        <v>0.31167240027590876</v>
      </c>
      <c r="D100" s="19">
        <f t="shared" si="2"/>
        <v>0.57093835275210336</v>
      </c>
      <c r="E100" s="19" t="str">
        <f t="shared" si="3"/>
        <v>No</v>
      </c>
      <c r="F100" s="19" t="str">
        <f t="shared" si="4"/>
        <v>Yes</v>
      </c>
      <c r="G100" s="20">
        <v>1</v>
      </c>
      <c r="H100" s="19">
        <v>15.6</v>
      </c>
      <c r="I100" s="20">
        <v>1</v>
      </c>
      <c r="J100" s="20">
        <f t="shared" si="5"/>
        <v>0</v>
      </c>
      <c r="K100" s="20">
        <f t="shared" si="6"/>
        <v>1</v>
      </c>
      <c r="L100" s="20">
        <f t="shared" si="7"/>
        <v>0</v>
      </c>
      <c r="M100" s="19">
        <f t="shared" si="8"/>
        <v>0.31696051626791638</v>
      </c>
      <c r="N100" s="19">
        <v>-0.25331580912344531</v>
      </c>
      <c r="O100" s="19">
        <v>0.27500323733660864</v>
      </c>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row>
    <row r="101" spans="1:137" hidden="1" outlineLevel="1" x14ac:dyDescent="0.2">
      <c r="A101" s="17">
        <v>127</v>
      </c>
      <c r="B101" s="19">
        <f t="shared" si="0"/>
        <v>0.55594978501029102</v>
      </c>
      <c r="C101" s="19">
        <f t="shared" si="1"/>
        <v>0.4201310637924609</v>
      </c>
      <c r="D101" s="19">
        <f t="shared" si="2"/>
        <v>0.68389198893010728</v>
      </c>
      <c r="E101" s="19" t="str">
        <f t="shared" si="3"/>
        <v>Yes</v>
      </c>
      <c r="F101" s="19" t="str">
        <f t="shared" si="4"/>
        <v>No</v>
      </c>
      <c r="G101" s="20">
        <v>0</v>
      </c>
      <c r="H101" s="19">
        <v>17</v>
      </c>
      <c r="I101" s="20">
        <v>1</v>
      </c>
      <c r="J101" s="20">
        <f t="shared" si="5"/>
        <v>1</v>
      </c>
      <c r="K101" s="20">
        <f t="shared" si="6"/>
        <v>0</v>
      </c>
      <c r="L101" s="20">
        <f t="shared" si="7"/>
        <v>1</v>
      </c>
      <c r="M101" s="19">
        <f t="shared" si="8"/>
        <v>0.30908016345298883</v>
      </c>
      <c r="N101" s="19">
        <v>0.22474032258133914</v>
      </c>
      <c r="O101" s="19">
        <v>0.27907436748746323</v>
      </c>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row>
    <row r="102" spans="1:137" hidden="1" outlineLevel="1" x14ac:dyDescent="0.2">
      <c r="A102" s="17">
        <v>128</v>
      </c>
      <c r="B102" s="19">
        <f t="shared" si="0"/>
        <v>0.36339994235213874</v>
      </c>
      <c r="C102" s="19">
        <f t="shared" si="1"/>
        <v>0.24481885194474326</v>
      </c>
      <c r="D102" s="19">
        <f t="shared" si="2"/>
        <v>0.50129096669750284</v>
      </c>
      <c r="E102" s="19" t="str">
        <f t="shared" si="3"/>
        <v>No</v>
      </c>
      <c r="F102" s="19" t="str">
        <f t="shared" si="4"/>
        <v>Yes</v>
      </c>
      <c r="G102" s="20">
        <v>1</v>
      </c>
      <c r="H102" s="19">
        <v>14.7</v>
      </c>
      <c r="I102" s="20">
        <v>1</v>
      </c>
      <c r="J102" s="20">
        <f t="shared" si="5"/>
        <v>0</v>
      </c>
      <c r="K102" s="20">
        <f t="shared" si="6"/>
        <v>1</v>
      </c>
      <c r="L102" s="20">
        <f t="shared" si="7"/>
        <v>0</v>
      </c>
      <c r="M102" s="19">
        <f t="shared" si="8"/>
        <v>0.40525963339726023</v>
      </c>
      <c r="N102" s="19">
        <v>-0.5606376080765223</v>
      </c>
      <c r="O102" s="19">
        <v>0.28867953227932547</v>
      </c>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row>
    <row r="103" spans="1:137" hidden="1" outlineLevel="1" x14ac:dyDescent="0.2">
      <c r="A103" s="17">
        <v>129</v>
      </c>
      <c r="B103" s="19">
        <f t="shared" si="0"/>
        <v>0.79438894889756317</v>
      </c>
      <c r="C103" s="19">
        <f t="shared" si="1"/>
        <v>0.64288013332224492</v>
      </c>
      <c r="D103" s="19">
        <f t="shared" si="2"/>
        <v>0.89238014291697065</v>
      </c>
      <c r="E103" s="19" t="str">
        <f t="shared" si="3"/>
        <v>Yes</v>
      </c>
      <c r="F103" s="19" t="str">
        <f t="shared" si="4"/>
        <v>Yes</v>
      </c>
      <c r="G103" s="20">
        <v>1</v>
      </c>
      <c r="H103" s="19">
        <v>20.3</v>
      </c>
      <c r="I103" s="20">
        <v>1</v>
      </c>
      <c r="J103" s="20">
        <f t="shared" si="5"/>
        <v>1</v>
      </c>
      <c r="K103" s="20">
        <f t="shared" si="6"/>
        <v>0</v>
      </c>
      <c r="L103" s="20">
        <f t="shared" si="7"/>
        <v>0</v>
      </c>
      <c r="M103" s="19">
        <f t="shared" si="8"/>
        <v>4.2275904335448887E-2</v>
      </c>
      <c r="N103" s="19">
        <v>1.351586918742619</v>
      </c>
      <c r="O103" s="19">
        <v>0.38965007631971715</v>
      </c>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row>
    <row r="104" spans="1:137" hidden="1" outlineLevel="1" x14ac:dyDescent="0.2">
      <c r="A104" s="17">
        <v>130</v>
      </c>
      <c r="B104" s="19">
        <f t="shared" si="0"/>
        <v>6.6384786342588084E-2</v>
      </c>
      <c r="C104" s="19">
        <f t="shared" si="1"/>
        <v>2.2751125163532851E-2</v>
      </c>
      <c r="D104" s="19">
        <f t="shared" si="2"/>
        <v>0.17842334368679066</v>
      </c>
      <c r="E104" s="19" t="str">
        <f t="shared" si="3"/>
        <v>No</v>
      </c>
      <c r="F104" s="19" t="str">
        <f t="shared" si="4"/>
        <v>No</v>
      </c>
      <c r="G104" s="20">
        <v>0</v>
      </c>
      <c r="H104" s="19">
        <v>8.6</v>
      </c>
      <c r="I104" s="20">
        <v>1</v>
      </c>
      <c r="J104" s="20">
        <f t="shared" si="5"/>
        <v>0</v>
      </c>
      <c r="K104" s="20">
        <f t="shared" si="6"/>
        <v>0</v>
      </c>
      <c r="L104" s="20">
        <f t="shared" si="7"/>
        <v>0</v>
      </c>
      <c r="M104" s="19">
        <f t="shared" si="8"/>
        <v>4.4069398577510693E-3</v>
      </c>
      <c r="N104" s="19">
        <v>-2.6435964676473707</v>
      </c>
      <c r="O104" s="19">
        <v>0.56966877583644571</v>
      </c>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row>
    <row r="105" spans="1:137" hidden="1" outlineLevel="1" x14ac:dyDescent="0.2">
      <c r="A105" s="17">
        <v>131</v>
      </c>
      <c r="B105" s="19">
        <f t="shared" si="0"/>
        <v>6.227537766225974E-2</v>
      </c>
      <c r="C105" s="19">
        <f t="shared" si="1"/>
        <v>2.0808235226001576E-2</v>
      </c>
      <c r="D105" s="19">
        <f t="shared" si="2"/>
        <v>0.17187427525736451</v>
      </c>
      <c r="E105" s="19" t="str">
        <f t="shared" si="3"/>
        <v>No</v>
      </c>
      <c r="F105" s="19" t="str">
        <f t="shared" si="4"/>
        <v>No</v>
      </c>
      <c r="G105" s="20">
        <v>0</v>
      </c>
      <c r="H105" s="19">
        <v>8.4</v>
      </c>
      <c r="I105" s="20">
        <v>1</v>
      </c>
      <c r="J105" s="20">
        <f t="shared" si="5"/>
        <v>0</v>
      </c>
      <c r="K105" s="20">
        <f t="shared" si="6"/>
        <v>0</v>
      </c>
      <c r="L105" s="20">
        <f t="shared" si="7"/>
        <v>0</v>
      </c>
      <c r="M105" s="19">
        <f t="shared" si="8"/>
        <v>3.8782226629770792E-3</v>
      </c>
      <c r="N105" s="19">
        <v>-2.7118902007480541</v>
      </c>
      <c r="O105" s="19">
        <v>0.58138235045571884</v>
      </c>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row>
    <row r="106" spans="1:137" hidden="1" outlineLevel="1" x14ac:dyDescent="0.2">
      <c r="A106" s="17">
        <v>132</v>
      </c>
      <c r="B106" s="19">
        <f t="shared" si="0"/>
        <v>0.64573771593767415</v>
      </c>
      <c r="C106" s="19">
        <f t="shared" si="1"/>
        <v>0.50161046912195728</v>
      </c>
      <c r="D106" s="19">
        <f t="shared" si="2"/>
        <v>0.76750384652402337</v>
      </c>
      <c r="E106" s="19" t="str">
        <f t="shared" si="3"/>
        <v>Yes</v>
      </c>
      <c r="F106" s="19" t="str">
        <f t="shared" si="4"/>
        <v>No</v>
      </c>
      <c r="G106" s="20">
        <v>0</v>
      </c>
      <c r="H106" s="19">
        <v>18.100000000000001</v>
      </c>
      <c r="I106" s="20">
        <v>1</v>
      </c>
      <c r="J106" s="20">
        <f t="shared" si="5"/>
        <v>1</v>
      </c>
      <c r="K106" s="20">
        <f t="shared" si="6"/>
        <v>0</v>
      </c>
      <c r="L106" s="20">
        <f t="shared" si="7"/>
        <v>1</v>
      </c>
      <c r="M106" s="19">
        <f t="shared" si="8"/>
        <v>0.41697719778440434</v>
      </c>
      <c r="N106" s="19">
        <v>0.60035585463509999</v>
      </c>
      <c r="O106" s="19">
        <v>0.30302289254031689</v>
      </c>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row>
    <row r="107" spans="1:137" hidden="1" outlineLevel="1" x14ac:dyDescent="0.2">
      <c r="A107" s="17">
        <v>133</v>
      </c>
      <c r="B107" s="19">
        <f t="shared" ref="B107:B138" si="9">1/(1+EXP(-N107))</f>
        <v>0.62196928345413838</v>
      </c>
      <c r="C107" s="19">
        <f t="shared" ref="C107:C138" si="10">1/(1+EXP(-(N107-$H$11*O107)))</f>
        <v>0.47999695967740053</v>
      </c>
      <c r="D107" s="19">
        <f t="shared" ref="D107:D138" si="11">1/(1+EXP(-(N107+$H$11*O107)))</f>
        <v>0.74571454376160384</v>
      </c>
      <c r="E107" s="19" t="str">
        <f t="shared" ref="E107:E138" si="12">IF(J107=0,$H$2,$I$2)</f>
        <v>Yes</v>
      </c>
      <c r="F107" s="19" t="str">
        <f t="shared" ref="F107:F138" si="13">IF(G107="","",IF(G107=0,$H$2,$I$2))</f>
        <v>No</v>
      </c>
      <c r="G107" s="20">
        <v>0</v>
      </c>
      <c r="H107" s="19">
        <v>17.8</v>
      </c>
      <c r="I107" s="20">
        <v>1</v>
      </c>
      <c r="J107" s="20">
        <f t="shared" ref="J107:J138" si="14">IF($B107&lt;$D$65,0,1)</f>
        <v>1</v>
      </c>
      <c r="K107" s="20">
        <f t="shared" ref="K107:K138" si="15">IF(ISBLANK($G107),"",(IF(AND(J107=0,$G107=1),1,0)))</f>
        <v>0</v>
      </c>
      <c r="L107" s="20">
        <f t="shared" ref="L107:L138" si="16">IF(ISBLANK($G107),"",(IF(AND(J107=1,$G107=0),1,0)))</f>
        <v>1</v>
      </c>
      <c r="M107" s="19">
        <f t="shared" ref="M107:M138" si="17">IF(ISBLANK($G107),"",($B107-$G107)^2)</f>
        <v>0.38684578956045435</v>
      </c>
      <c r="N107" s="19">
        <v>0.49791525498407374</v>
      </c>
      <c r="O107" s="19">
        <v>0.29488814488387449</v>
      </c>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row>
    <row r="108" spans="1:137" hidden="1" outlineLevel="1" x14ac:dyDescent="0.2">
      <c r="A108" s="17">
        <v>134</v>
      </c>
      <c r="B108" s="19">
        <f t="shared" si="9"/>
        <v>0.33242775146204279</v>
      </c>
      <c r="C108" s="19">
        <f t="shared" si="10"/>
        <v>0.21718524340138795</v>
      </c>
      <c r="D108" s="19">
        <f t="shared" si="11"/>
        <v>0.47195329476042025</v>
      </c>
      <c r="E108" s="19" t="str">
        <f t="shared" si="12"/>
        <v>No</v>
      </c>
      <c r="F108" s="19" t="str">
        <f t="shared" si="13"/>
        <v>Yes</v>
      </c>
      <c r="G108" s="20">
        <v>1</v>
      </c>
      <c r="H108" s="19">
        <v>14.3</v>
      </c>
      <c r="I108" s="20">
        <v>1</v>
      </c>
      <c r="J108" s="20">
        <f t="shared" si="14"/>
        <v>0</v>
      </c>
      <c r="K108" s="20">
        <f t="shared" si="15"/>
        <v>1</v>
      </c>
      <c r="L108" s="20">
        <f t="shared" si="16"/>
        <v>0</v>
      </c>
      <c r="M108" s="19">
        <f t="shared" si="17"/>
        <v>0.44565270701802406</v>
      </c>
      <c r="N108" s="19">
        <v>-0.69722507427788827</v>
      </c>
      <c r="O108" s="19">
        <v>0.29843424221826276</v>
      </c>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row>
    <row r="109" spans="1:137" hidden="1" outlineLevel="1" x14ac:dyDescent="0.2">
      <c r="A109" s="17">
        <v>135</v>
      </c>
      <c r="B109" s="19">
        <f t="shared" si="9"/>
        <v>0.16531654437464821</v>
      </c>
      <c r="C109" s="19">
        <f t="shared" si="10"/>
        <v>8.2055356478788061E-2</v>
      </c>
      <c r="D109" s="19">
        <f t="shared" si="11"/>
        <v>0.30499196955598123</v>
      </c>
      <c r="E109" s="19" t="str">
        <f t="shared" si="12"/>
        <v>No</v>
      </c>
      <c r="F109" s="19" t="str">
        <f t="shared" si="13"/>
        <v>No</v>
      </c>
      <c r="G109" s="20">
        <v>0</v>
      </c>
      <c r="H109" s="19">
        <v>11.6</v>
      </c>
      <c r="I109" s="20">
        <v>1</v>
      </c>
      <c r="J109" s="20">
        <f t="shared" si="14"/>
        <v>0</v>
      </c>
      <c r="K109" s="20">
        <f t="shared" si="15"/>
        <v>0</v>
      </c>
      <c r="L109" s="20">
        <f t="shared" si="16"/>
        <v>0</v>
      </c>
      <c r="M109" s="19">
        <f t="shared" si="17"/>
        <v>2.7329559843975032E-2</v>
      </c>
      <c r="N109" s="19">
        <v>-1.619190471137117</v>
      </c>
      <c r="O109" s="19">
        <v>0.40590160036343642</v>
      </c>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row>
    <row r="110" spans="1:137" hidden="1" outlineLevel="1" x14ac:dyDescent="0.2">
      <c r="A110" s="17">
        <v>136</v>
      </c>
      <c r="B110" s="19">
        <f t="shared" si="9"/>
        <v>0.37934156625962773</v>
      </c>
      <c r="C110" s="19">
        <f t="shared" si="10"/>
        <v>0.25919232471087966</v>
      </c>
      <c r="D110" s="19">
        <f t="shared" si="11"/>
        <v>0.51636488806488301</v>
      </c>
      <c r="E110" s="19" t="str">
        <f t="shared" si="12"/>
        <v>No</v>
      </c>
      <c r="F110" s="19" t="str">
        <f t="shared" si="13"/>
        <v>Yes</v>
      </c>
      <c r="G110" s="20">
        <v>1</v>
      </c>
      <c r="H110" s="19">
        <v>14.9</v>
      </c>
      <c r="I110" s="20">
        <v>1</v>
      </c>
      <c r="J110" s="20">
        <f t="shared" si="14"/>
        <v>0</v>
      </c>
      <c r="K110" s="20">
        <f t="shared" si="15"/>
        <v>1</v>
      </c>
      <c r="L110" s="20">
        <f t="shared" si="16"/>
        <v>0</v>
      </c>
      <c r="M110" s="19">
        <f t="shared" si="17"/>
        <v>0.38521689137305198</v>
      </c>
      <c r="N110" s="19">
        <v>-0.49234387497583842</v>
      </c>
      <c r="O110" s="19">
        <v>0.28461074842661421</v>
      </c>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row>
    <row r="111" spans="1:137" hidden="1" outlineLevel="1" x14ac:dyDescent="0.2">
      <c r="A111" s="17">
        <v>137</v>
      </c>
      <c r="B111" s="19">
        <f t="shared" si="9"/>
        <v>0.45387598690803194</v>
      </c>
      <c r="C111" s="19">
        <f t="shared" si="10"/>
        <v>0.3270900211260519</v>
      </c>
      <c r="D111" s="19">
        <f t="shared" si="11"/>
        <v>0.5869405434625854</v>
      </c>
      <c r="E111" s="19" t="str">
        <f t="shared" si="12"/>
        <v>No</v>
      </c>
      <c r="F111" s="19" t="str">
        <f t="shared" si="13"/>
        <v>No</v>
      </c>
      <c r="G111" s="20">
        <v>0</v>
      </c>
      <c r="H111" s="19">
        <v>15.8</v>
      </c>
      <c r="I111" s="20">
        <v>1</v>
      </c>
      <c r="J111" s="20">
        <f t="shared" si="14"/>
        <v>0</v>
      </c>
      <c r="K111" s="20">
        <f t="shared" si="15"/>
        <v>0</v>
      </c>
      <c r="L111" s="20">
        <f t="shared" si="16"/>
        <v>0</v>
      </c>
      <c r="M111" s="19">
        <f t="shared" si="17"/>
        <v>0.20600341149173998</v>
      </c>
      <c r="N111" s="19">
        <v>-0.18502207602276144</v>
      </c>
      <c r="O111" s="19">
        <v>0.27365505742535101</v>
      </c>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row>
    <row r="112" spans="1:137" hidden="1" outlineLevel="1" x14ac:dyDescent="0.2">
      <c r="A112" s="17">
        <v>138</v>
      </c>
      <c r="B112" s="19">
        <f t="shared" si="9"/>
        <v>0.95516650870449438</v>
      </c>
      <c r="C112" s="19">
        <f t="shared" si="10"/>
        <v>0.85167723094226067</v>
      </c>
      <c r="D112" s="19">
        <f t="shared" si="11"/>
        <v>0.98750735218479024</v>
      </c>
      <c r="E112" s="19" t="str">
        <f t="shared" si="12"/>
        <v>Yes</v>
      </c>
      <c r="F112" s="19" t="str">
        <f t="shared" si="13"/>
        <v>Yes</v>
      </c>
      <c r="G112" s="20">
        <v>1</v>
      </c>
      <c r="H112" s="19">
        <v>25.3</v>
      </c>
      <c r="I112" s="20">
        <v>1</v>
      </c>
      <c r="J112" s="20">
        <f t="shared" si="14"/>
        <v>1</v>
      </c>
      <c r="K112" s="20">
        <f t="shared" si="15"/>
        <v>0</v>
      </c>
      <c r="L112" s="20">
        <f t="shared" si="16"/>
        <v>0</v>
      </c>
      <c r="M112" s="19">
        <f t="shared" si="17"/>
        <v>2.0100419417441785E-3</v>
      </c>
      <c r="N112" s="19">
        <v>3.0589302462597088</v>
      </c>
      <c r="O112" s="19">
        <v>0.66894769985457114</v>
      </c>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row>
    <row r="113" spans="1:137" hidden="1" outlineLevel="1" x14ac:dyDescent="0.2">
      <c r="A113" s="17">
        <v>139</v>
      </c>
      <c r="B113" s="19">
        <f t="shared" si="9"/>
        <v>0.88437451579210569</v>
      </c>
      <c r="C113" s="19">
        <f t="shared" si="10"/>
        <v>0.7440789067433875</v>
      </c>
      <c r="D113" s="19">
        <f t="shared" si="11"/>
        <v>0.95265405166179473</v>
      </c>
      <c r="E113" s="19" t="str">
        <f t="shared" si="12"/>
        <v>Yes</v>
      </c>
      <c r="F113" s="19" t="str">
        <f t="shared" si="13"/>
        <v>Yes</v>
      </c>
      <c r="G113" s="20">
        <v>1</v>
      </c>
      <c r="H113" s="19">
        <v>22.3</v>
      </c>
      <c r="I113" s="20">
        <v>1</v>
      </c>
      <c r="J113" s="20">
        <f t="shared" si="14"/>
        <v>1</v>
      </c>
      <c r="K113" s="20">
        <f t="shared" si="15"/>
        <v>0</v>
      </c>
      <c r="L113" s="20">
        <f t="shared" si="16"/>
        <v>0</v>
      </c>
      <c r="M113" s="19">
        <f t="shared" si="17"/>
        <v>1.3369252598310018E-2</v>
      </c>
      <c r="N113" s="19">
        <v>2.0345242497494542</v>
      </c>
      <c r="O113" s="19">
        <v>0.49350209402801365</v>
      </c>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row>
    <row r="114" spans="1:137" hidden="1" outlineLevel="1" x14ac:dyDescent="0.2">
      <c r="A114" s="17">
        <v>140</v>
      </c>
      <c r="B114" s="19">
        <f t="shared" si="9"/>
        <v>0.94893993312080627</v>
      </c>
      <c r="C114" s="19">
        <f t="shared" si="10"/>
        <v>0.84005876163144999</v>
      </c>
      <c r="D114" s="19">
        <f t="shared" si="11"/>
        <v>0.98502109536519233</v>
      </c>
      <c r="E114" s="19" t="str">
        <f t="shared" si="12"/>
        <v>Yes</v>
      </c>
      <c r="F114" s="19" t="str">
        <f t="shared" si="13"/>
        <v>Yes</v>
      </c>
      <c r="G114" s="20">
        <v>1</v>
      </c>
      <c r="H114" s="19">
        <v>24.9</v>
      </c>
      <c r="I114" s="20">
        <v>1</v>
      </c>
      <c r="J114" s="20">
        <f t="shared" si="14"/>
        <v>1</v>
      </c>
      <c r="K114" s="20">
        <f t="shared" si="15"/>
        <v>0</v>
      </c>
      <c r="L114" s="20">
        <f t="shared" si="16"/>
        <v>0</v>
      </c>
      <c r="M114" s="19">
        <f t="shared" si="17"/>
        <v>2.6071304297077369E-3</v>
      </c>
      <c r="N114" s="19">
        <v>2.9223427800583393</v>
      </c>
      <c r="O114" s="19">
        <v>0.64474522689853653</v>
      </c>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row>
    <row r="115" spans="1:137" hidden="1" outlineLevel="1" x14ac:dyDescent="0.2">
      <c r="A115" s="17">
        <v>141</v>
      </c>
      <c r="B115" s="19">
        <f t="shared" si="9"/>
        <v>0.53903206892797118</v>
      </c>
      <c r="C115" s="19">
        <f t="shared" si="10"/>
        <v>0.4047657038349069</v>
      </c>
      <c r="D115" s="19">
        <f t="shared" si="11"/>
        <v>0.66786396783731194</v>
      </c>
      <c r="E115" s="19" t="str">
        <f t="shared" si="12"/>
        <v>Yes</v>
      </c>
      <c r="F115" s="19" t="str">
        <f t="shared" si="13"/>
        <v>No</v>
      </c>
      <c r="G115" s="20">
        <v>0</v>
      </c>
      <c r="H115" s="19">
        <v>16.8</v>
      </c>
      <c r="I115" s="20">
        <v>1</v>
      </c>
      <c r="J115" s="20">
        <f t="shared" si="14"/>
        <v>1</v>
      </c>
      <c r="K115" s="20">
        <f t="shared" si="15"/>
        <v>0</v>
      </c>
      <c r="L115" s="20">
        <f t="shared" si="16"/>
        <v>1</v>
      </c>
      <c r="M115" s="19">
        <f t="shared" si="17"/>
        <v>0.29055557133276905</v>
      </c>
      <c r="N115" s="19">
        <v>0.15644658948065615</v>
      </c>
      <c r="O115" s="19">
        <v>0.27658329755269784</v>
      </c>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row>
    <row r="116" spans="1:137" hidden="1" outlineLevel="1" x14ac:dyDescent="0.2">
      <c r="A116" s="17">
        <v>142</v>
      </c>
      <c r="B116" s="19">
        <f t="shared" si="9"/>
        <v>0.90951267777439671</v>
      </c>
      <c r="C116" s="19">
        <f t="shared" si="10"/>
        <v>0.7776401470943185</v>
      </c>
      <c r="D116" s="19">
        <f t="shared" si="11"/>
        <v>0.96654192494226376</v>
      </c>
      <c r="E116" s="19" t="str">
        <f t="shared" si="12"/>
        <v>Yes</v>
      </c>
      <c r="F116" s="19" t="str">
        <f t="shared" si="13"/>
        <v>Yes</v>
      </c>
      <c r="G116" s="20">
        <v>1</v>
      </c>
      <c r="H116" s="19">
        <v>23.1</v>
      </c>
      <c r="I116" s="20">
        <v>1</v>
      </c>
      <c r="J116" s="20">
        <f t="shared" si="14"/>
        <v>1</v>
      </c>
      <c r="K116" s="20">
        <f t="shared" si="15"/>
        <v>0</v>
      </c>
      <c r="L116" s="20">
        <f t="shared" si="16"/>
        <v>0</v>
      </c>
      <c r="M116" s="19">
        <f t="shared" si="17"/>
        <v>8.1879554835601609E-3</v>
      </c>
      <c r="N116" s="19">
        <v>2.3076991821521888</v>
      </c>
      <c r="O116" s="19">
        <v>0.53864884137832691</v>
      </c>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row>
    <row r="117" spans="1:137" hidden="1" outlineLevel="1" x14ac:dyDescent="0.2">
      <c r="A117" s="17">
        <v>143</v>
      </c>
      <c r="B117" s="19">
        <f t="shared" si="9"/>
        <v>0.53053687797844862</v>
      </c>
      <c r="C117" s="19">
        <f t="shared" si="10"/>
        <v>0.39704137770070447</v>
      </c>
      <c r="D117" s="19">
        <f t="shared" si="11"/>
        <v>0.6598009967230718</v>
      </c>
      <c r="E117" s="19" t="str">
        <f t="shared" si="12"/>
        <v>Yes</v>
      </c>
      <c r="F117" s="19" t="str">
        <f t="shared" si="13"/>
        <v>No</v>
      </c>
      <c r="G117" s="20">
        <v>0</v>
      </c>
      <c r="H117" s="19">
        <v>16.7</v>
      </c>
      <c r="I117" s="20">
        <v>1</v>
      </c>
      <c r="J117" s="20">
        <f t="shared" si="14"/>
        <v>1</v>
      </c>
      <c r="K117" s="20">
        <f t="shared" si="15"/>
        <v>0</v>
      </c>
      <c r="L117" s="20">
        <f t="shared" si="16"/>
        <v>1</v>
      </c>
      <c r="M117" s="19">
        <f t="shared" si="17"/>
        <v>0.2814693788951193</v>
      </c>
      <c r="N117" s="19">
        <v>0.12229972293031377</v>
      </c>
      <c r="O117" s="19">
        <v>0.27557026589525507</v>
      </c>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row>
    <row r="118" spans="1:137" hidden="1" outlineLevel="1" x14ac:dyDescent="0.2">
      <c r="A118" s="17">
        <v>144</v>
      </c>
      <c r="B118" s="19">
        <f t="shared" si="9"/>
        <v>0.53053687797844862</v>
      </c>
      <c r="C118" s="19">
        <f t="shared" si="10"/>
        <v>0.39704137770070447</v>
      </c>
      <c r="D118" s="19">
        <f t="shared" si="11"/>
        <v>0.6598009967230718</v>
      </c>
      <c r="E118" s="19" t="str">
        <f t="shared" si="12"/>
        <v>Yes</v>
      </c>
      <c r="F118" s="19" t="str">
        <f t="shared" si="13"/>
        <v>Yes</v>
      </c>
      <c r="G118" s="20">
        <v>1</v>
      </c>
      <c r="H118" s="19">
        <v>16.7</v>
      </c>
      <c r="I118" s="20">
        <v>1</v>
      </c>
      <c r="J118" s="20">
        <f t="shared" si="14"/>
        <v>1</v>
      </c>
      <c r="K118" s="20">
        <f t="shared" si="15"/>
        <v>0</v>
      </c>
      <c r="L118" s="20">
        <f t="shared" si="16"/>
        <v>0</v>
      </c>
      <c r="M118" s="19">
        <f t="shared" si="17"/>
        <v>0.22039562293822204</v>
      </c>
      <c r="N118" s="19">
        <v>0.12229972293031377</v>
      </c>
      <c r="O118" s="19">
        <v>0.27557026589525507</v>
      </c>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row>
    <row r="119" spans="1:137" hidden="1" outlineLevel="1" x14ac:dyDescent="0.2">
      <c r="A119" s="17">
        <v>145</v>
      </c>
      <c r="B119" s="19">
        <f t="shared" si="9"/>
        <v>0.92014263927163664</v>
      </c>
      <c r="C119" s="19">
        <f t="shared" si="10"/>
        <v>0.79302758719055744</v>
      </c>
      <c r="D119" s="19">
        <f t="shared" si="11"/>
        <v>0.97194959294078076</v>
      </c>
      <c r="E119" s="19" t="str">
        <f t="shared" si="12"/>
        <v>Yes</v>
      </c>
      <c r="F119" s="19" t="str">
        <f t="shared" si="13"/>
        <v>Yes</v>
      </c>
      <c r="G119" s="20">
        <v>1</v>
      </c>
      <c r="H119" s="19">
        <v>23.5</v>
      </c>
      <c r="I119" s="20">
        <v>1</v>
      </c>
      <c r="J119" s="20">
        <f t="shared" si="14"/>
        <v>1</v>
      </c>
      <c r="K119" s="20">
        <f t="shared" si="15"/>
        <v>0</v>
      </c>
      <c r="L119" s="20">
        <f t="shared" si="16"/>
        <v>0</v>
      </c>
      <c r="M119" s="19">
        <f t="shared" si="17"/>
        <v>6.3771980624999502E-3</v>
      </c>
      <c r="N119" s="19">
        <v>2.4442866483535548</v>
      </c>
      <c r="O119" s="19">
        <v>0.56175223654815132</v>
      </c>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row>
    <row r="120" spans="1:137" hidden="1" outlineLevel="1" x14ac:dyDescent="0.2">
      <c r="A120" s="17">
        <v>146</v>
      </c>
      <c r="B120" s="19">
        <f t="shared" si="9"/>
        <v>0.34775289242164231</v>
      </c>
      <c r="C120" s="19">
        <f t="shared" si="10"/>
        <v>0.23080334996585206</v>
      </c>
      <c r="D120" s="19">
        <f t="shared" si="11"/>
        <v>0.48648277629415321</v>
      </c>
      <c r="E120" s="19" t="str">
        <f t="shared" si="12"/>
        <v>No</v>
      </c>
      <c r="F120" s="19" t="str">
        <f t="shared" si="13"/>
        <v>Yes</v>
      </c>
      <c r="G120" s="20">
        <v>1</v>
      </c>
      <c r="H120" s="19">
        <v>14.5</v>
      </c>
      <c r="I120" s="20">
        <v>1</v>
      </c>
      <c r="J120" s="20">
        <f t="shared" si="14"/>
        <v>0</v>
      </c>
      <c r="K120" s="20">
        <f t="shared" si="15"/>
        <v>1</v>
      </c>
      <c r="L120" s="20">
        <f t="shared" si="16"/>
        <v>0</v>
      </c>
      <c r="M120" s="19">
        <f t="shared" si="17"/>
        <v>0.42542628934433369</v>
      </c>
      <c r="N120" s="19">
        <v>-0.62893134117720528</v>
      </c>
      <c r="O120" s="19">
        <v>0.29329583238285878</v>
      </c>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row>
    <row r="121" spans="1:137" hidden="1" outlineLevel="1" x14ac:dyDescent="0.2">
      <c r="A121" s="17">
        <v>147</v>
      </c>
      <c r="B121" s="19">
        <f t="shared" si="9"/>
        <v>0.17994061604659714</v>
      </c>
      <c r="C121" s="19">
        <f t="shared" si="10"/>
        <v>9.2474005260684417E-2</v>
      </c>
      <c r="D121" s="19">
        <f t="shared" si="11"/>
        <v>0.32088555846404432</v>
      </c>
      <c r="E121" s="19" t="str">
        <f t="shared" si="12"/>
        <v>No</v>
      </c>
      <c r="F121" s="19" t="str">
        <f t="shared" si="13"/>
        <v>No</v>
      </c>
      <c r="G121" s="20">
        <v>0</v>
      </c>
      <c r="H121" s="19">
        <v>11.9</v>
      </c>
      <c r="I121" s="20">
        <v>1</v>
      </c>
      <c r="J121" s="20">
        <f t="shared" si="14"/>
        <v>0</v>
      </c>
      <c r="K121" s="20">
        <f t="shared" si="15"/>
        <v>0</v>
      </c>
      <c r="L121" s="20">
        <f t="shared" si="16"/>
        <v>0</v>
      </c>
      <c r="M121" s="19">
        <f t="shared" si="17"/>
        <v>3.2378625303228895E-2</v>
      </c>
      <c r="N121" s="19">
        <v>-1.5167498714860912</v>
      </c>
      <c r="O121" s="19">
        <v>0.39135655747708048</v>
      </c>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row>
    <row r="122" spans="1:137" hidden="1" outlineLevel="1" x14ac:dyDescent="0.2">
      <c r="A122" s="17">
        <v>148</v>
      </c>
      <c r="B122" s="19">
        <f t="shared" si="9"/>
        <v>0.21793827219228132</v>
      </c>
      <c r="C122" s="19">
        <f t="shared" si="10"/>
        <v>0.1210825991837594</v>
      </c>
      <c r="D122" s="19">
        <f t="shared" si="11"/>
        <v>0.36049285934246655</v>
      </c>
      <c r="E122" s="19" t="str">
        <f t="shared" si="12"/>
        <v>No</v>
      </c>
      <c r="F122" s="19" t="str">
        <f t="shared" si="13"/>
        <v>No</v>
      </c>
      <c r="G122" s="20">
        <v>0</v>
      </c>
      <c r="H122" s="19">
        <v>12.6</v>
      </c>
      <c r="I122" s="20">
        <v>1</v>
      </c>
      <c r="J122" s="20">
        <f t="shared" si="14"/>
        <v>0</v>
      </c>
      <c r="K122" s="20">
        <f t="shared" si="15"/>
        <v>0</v>
      </c>
      <c r="L122" s="20">
        <f t="shared" si="16"/>
        <v>0</v>
      </c>
      <c r="M122" s="19">
        <f t="shared" si="17"/>
        <v>4.7497090486156898E-2</v>
      </c>
      <c r="N122" s="19">
        <v>-1.277721805633699</v>
      </c>
      <c r="O122" s="19">
        <v>0.35944342503888915</v>
      </c>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row>
    <row r="123" spans="1:137" hidden="1" outlineLevel="1" x14ac:dyDescent="0.2">
      <c r="A123" s="17">
        <v>149</v>
      </c>
      <c r="B123" s="19">
        <f t="shared" si="9"/>
        <v>5.4760061913511925E-2</v>
      </c>
      <c r="C123" s="19">
        <f t="shared" si="10"/>
        <v>1.7390816395802006E-2</v>
      </c>
      <c r="D123" s="19">
        <f t="shared" si="11"/>
        <v>0.15940174386761116</v>
      </c>
      <c r="E123" s="19" t="str">
        <f t="shared" si="12"/>
        <v>No</v>
      </c>
      <c r="F123" s="19" t="str">
        <f t="shared" si="13"/>
        <v>No</v>
      </c>
      <c r="G123" s="20">
        <v>0</v>
      </c>
      <c r="H123" s="19">
        <v>8</v>
      </c>
      <c r="I123" s="20">
        <v>1</v>
      </c>
      <c r="J123" s="20">
        <f t="shared" si="14"/>
        <v>0</v>
      </c>
      <c r="K123" s="20">
        <f t="shared" si="15"/>
        <v>0</v>
      </c>
      <c r="L123" s="20">
        <f t="shared" si="16"/>
        <v>0</v>
      </c>
      <c r="M123" s="19">
        <f t="shared" si="17"/>
        <v>2.9986643807716593E-3</v>
      </c>
      <c r="N123" s="19">
        <v>-2.8484776669494214</v>
      </c>
      <c r="O123" s="19">
        <v>0.60500679337965524</v>
      </c>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row>
    <row r="124" spans="1:137" hidden="1" outlineLevel="1" x14ac:dyDescent="0.2">
      <c r="A124" s="17">
        <v>150</v>
      </c>
      <c r="B124" s="19">
        <f t="shared" si="9"/>
        <v>0.26140211633255245</v>
      </c>
      <c r="C124" s="19">
        <f t="shared" si="10"/>
        <v>0.15610693195167999</v>
      </c>
      <c r="D124" s="19">
        <f t="shared" si="11"/>
        <v>0.40374067016672366</v>
      </c>
      <c r="E124" s="19" t="str">
        <f t="shared" si="12"/>
        <v>No</v>
      </c>
      <c r="F124" s="19" t="str">
        <f t="shared" si="13"/>
        <v>No</v>
      </c>
      <c r="G124" s="20">
        <v>0</v>
      </c>
      <c r="H124" s="19">
        <v>13.3</v>
      </c>
      <c r="I124" s="20">
        <v>1</v>
      </c>
      <c r="J124" s="20">
        <f t="shared" si="14"/>
        <v>0</v>
      </c>
      <c r="K124" s="20">
        <f t="shared" si="15"/>
        <v>0</v>
      </c>
      <c r="L124" s="20">
        <f t="shared" si="16"/>
        <v>0</v>
      </c>
      <c r="M124" s="19">
        <f t="shared" si="17"/>
        <v>6.8331066423137285E-2</v>
      </c>
      <c r="N124" s="19">
        <v>-1.0386937397813067</v>
      </c>
      <c r="O124" s="19">
        <v>0.33102180531035924</v>
      </c>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row>
    <row r="125" spans="1:137" hidden="1" outlineLevel="1" x14ac:dyDescent="0.2">
      <c r="A125" s="17">
        <v>151</v>
      </c>
      <c r="B125" s="19">
        <f t="shared" si="9"/>
        <v>0.98397551438052733</v>
      </c>
      <c r="C125" s="19">
        <f t="shared" si="10"/>
        <v>0.91903345688939997</v>
      </c>
      <c r="D125" s="19">
        <f t="shared" si="11"/>
        <v>0.99699862750968105</v>
      </c>
      <c r="E125" s="19" t="str">
        <f t="shared" si="12"/>
        <v>Yes</v>
      </c>
      <c r="F125" s="19" t="str">
        <f t="shared" si="13"/>
        <v>Yes</v>
      </c>
      <c r="G125" s="20">
        <v>1</v>
      </c>
      <c r="H125" s="19">
        <v>28.4</v>
      </c>
      <c r="I125" s="20">
        <v>1</v>
      </c>
      <c r="J125" s="20">
        <f t="shared" si="14"/>
        <v>1</v>
      </c>
      <c r="K125" s="20">
        <f t="shared" si="15"/>
        <v>0</v>
      </c>
      <c r="L125" s="20">
        <f t="shared" si="16"/>
        <v>0</v>
      </c>
      <c r="M125" s="19">
        <f t="shared" si="17"/>
        <v>2.5678413936868649E-4</v>
      </c>
      <c r="N125" s="19">
        <v>4.117483109320303</v>
      </c>
      <c r="O125" s="19">
        <v>0.86134062488662622</v>
      </c>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row>
    <row r="126" spans="1:137" hidden="1" outlineLevel="1" x14ac:dyDescent="0.2">
      <c r="A126" s="17">
        <v>152</v>
      </c>
      <c r="B126" s="19">
        <f t="shared" si="9"/>
        <v>0.73304329095045684</v>
      </c>
      <c r="C126" s="19">
        <f t="shared" si="10"/>
        <v>0.58256507928341283</v>
      </c>
      <c r="D126" s="19">
        <f t="shared" si="11"/>
        <v>0.84381924133971586</v>
      </c>
      <c r="E126" s="19" t="str">
        <f t="shared" si="12"/>
        <v>Yes</v>
      </c>
      <c r="F126" s="19" t="str">
        <f t="shared" si="13"/>
        <v>No</v>
      </c>
      <c r="G126" s="20">
        <v>0</v>
      </c>
      <c r="H126" s="19">
        <v>19.3</v>
      </c>
      <c r="I126" s="20">
        <v>1</v>
      </c>
      <c r="J126" s="20">
        <f t="shared" si="14"/>
        <v>1</v>
      </c>
      <c r="K126" s="20">
        <f t="shared" si="15"/>
        <v>0</v>
      </c>
      <c r="L126" s="20">
        <f t="shared" si="16"/>
        <v>1</v>
      </c>
      <c r="M126" s="19">
        <f t="shared" si="17"/>
        <v>0.53735246640747614</v>
      </c>
      <c r="N126" s="19">
        <v>1.0101182532392006</v>
      </c>
      <c r="O126" s="19">
        <v>0.34531553074664961</v>
      </c>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row>
    <row r="127" spans="1:137" hidden="1" outlineLevel="1" x14ac:dyDescent="0.2">
      <c r="A127" s="17">
        <v>153</v>
      </c>
      <c r="B127" s="19">
        <f t="shared" si="9"/>
        <v>0.17994061604659714</v>
      </c>
      <c r="C127" s="19">
        <f t="shared" si="10"/>
        <v>9.2474005260684417E-2</v>
      </c>
      <c r="D127" s="19">
        <f t="shared" si="11"/>
        <v>0.32088555846404432</v>
      </c>
      <c r="E127" s="19" t="str">
        <f t="shared" si="12"/>
        <v>No</v>
      </c>
      <c r="F127" s="19" t="str">
        <f t="shared" si="13"/>
        <v>No</v>
      </c>
      <c r="G127" s="20">
        <v>0</v>
      </c>
      <c r="H127" s="19">
        <v>11.9</v>
      </c>
      <c r="I127" s="20">
        <v>1</v>
      </c>
      <c r="J127" s="20">
        <f t="shared" si="14"/>
        <v>0</v>
      </c>
      <c r="K127" s="20">
        <f t="shared" si="15"/>
        <v>0</v>
      </c>
      <c r="L127" s="20">
        <f t="shared" si="16"/>
        <v>0</v>
      </c>
      <c r="M127" s="19">
        <f t="shared" si="17"/>
        <v>3.2378625303228895E-2</v>
      </c>
      <c r="N127" s="19">
        <v>-1.5167498714860912</v>
      </c>
      <c r="O127" s="19">
        <v>0.39135655747708048</v>
      </c>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row>
    <row r="128" spans="1:137" hidden="1" outlineLevel="1" x14ac:dyDescent="0.2">
      <c r="A128" s="17">
        <v>154</v>
      </c>
      <c r="B128" s="19">
        <f t="shared" si="9"/>
        <v>4.8105159335527267E-2</v>
      </c>
      <c r="C128" s="19">
        <f t="shared" si="10"/>
        <v>1.451964242426586E-2</v>
      </c>
      <c r="D128" s="19">
        <f t="shared" si="11"/>
        <v>0.14773171745198058</v>
      </c>
      <c r="E128" s="19" t="str">
        <f t="shared" si="12"/>
        <v>No</v>
      </c>
      <c r="F128" s="19" t="str">
        <f t="shared" si="13"/>
        <v>No</v>
      </c>
      <c r="G128" s="20">
        <v>0</v>
      </c>
      <c r="H128" s="19">
        <v>7.6</v>
      </c>
      <c r="I128" s="20">
        <v>1</v>
      </c>
      <c r="J128" s="20">
        <f t="shared" si="14"/>
        <v>0</v>
      </c>
      <c r="K128" s="20">
        <f t="shared" si="15"/>
        <v>0</v>
      </c>
      <c r="L128" s="20">
        <f t="shared" si="16"/>
        <v>0</v>
      </c>
      <c r="M128" s="19">
        <f t="shared" si="17"/>
        <v>2.314106354696466E-3</v>
      </c>
      <c r="N128" s="19">
        <v>-2.9850651331507887</v>
      </c>
      <c r="O128" s="19">
        <v>0.62886955519091059</v>
      </c>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row>
    <row r="129" spans="1:137" hidden="1" outlineLevel="1" x14ac:dyDescent="0.2">
      <c r="A129" s="17">
        <v>155</v>
      </c>
      <c r="B129" s="19">
        <f t="shared" si="9"/>
        <v>0.66120071338896724</v>
      </c>
      <c r="C129" s="19">
        <f t="shared" si="10"/>
        <v>0.51572864778886351</v>
      </c>
      <c r="D129" s="19">
        <f t="shared" si="11"/>
        <v>0.78148884658890561</v>
      </c>
      <c r="E129" s="19" t="str">
        <f t="shared" si="12"/>
        <v>Yes</v>
      </c>
      <c r="F129" s="19" t="str">
        <f t="shared" si="13"/>
        <v>No</v>
      </c>
      <c r="G129" s="20">
        <v>0</v>
      </c>
      <c r="H129" s="19">
        <v>18.3</v>
      </c>
      <c r="I129" s="20">
        <v>1</v>
      </c>
      <c r="J129" s="20">
        <f t="shared" si="14"/>
        <v>1</v>
      </c>
      <c r="K129" s="20">
        <f t="shared" si="15"/>
        <v>0</v>
      </c>
      <c r="L129" s="20">
        <f t="shared" si="16"/>
        <v>1</v>
      </c>
      <c r="M129" s="19">
        <f t="shared" si="17"/>
        <v>0.43718638338607918</v>
      </c>
      <c r="N129" s="19">
        <v>0.66864958773578298</v>
      </c>
      <c r="O129" s="19">
        <v>0.3090435520294772</v>
      </c>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row>
    <row r="130" spans="1:137" hidden="1" outlineLevel="1" x14ac:dyDescent="0.2">
      <c r="A130" s="17">
        <v>156</v>
      </c>
      <c r="B130" s="19">
        <f t="shared" si="9"/>
        <v>0.82584596660933329</v>
      </c>
      <c r="C130" s="19">
        <f t="shared" si="10"/>
        <v>0.67592173735297945</v>
      </c>
      <c r="D130" s="19">
        <f t="shared" si="11"/>
        <v>0.91512211802739674</v>
      </c>
      <c r="E130" s="19" t="str">
        <f t="shared" si="12"/>
        <v>Yes</v>
      </c>
      <c r="F130" s="19" t="str">
        <f t="shared" si="13"/>
        <v>Yes</v>
      </c>
      <c r="G130" s="20">
        <v>1</v>
      </c>
      <c r="H130" s="19">
        <v>20.9</v>
      </c>
      <c r="I130" s="20">
        <v>1</v>
      </c>
      <c r="J130" s="20">
        <f t="shared" si="14"/>
        <v>1</v>
      </c>
      <c r="K130" s="20">
        <f t="shared" si="15"/>
        <v>0</v>
      </c>
      <c r="L130" s="20">
        <f t="shared" si="16"/>
        <v>0</v>
      </c>
      <c r="M130" s="19">
        <f t="shared" si="17"/>
        <v>3.0329627346237453E-2</v>
      </c>
      <c r="N130" s="19">
        <v>1.5564681180446689</v>
      </c>
      <c r="O130" s="19">
        <v>0.41907701689036453</v>
      </c>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row>
    <row r="131" spans="1:137" hidden="1" outlineLevel="1" x14ac:dyDescent="0.2">
      <c r="A131" s="17">
        <v>157</v>
      </c>
      <c r="B131" s="19">
        <f t="shared" si="9"/>
        <v>0.46235258559199538</v>
      </c>
      <c r="C131" s="19">
        <f t="shared" si="10"/>
        <v>0.33483895330753644</v>
      </c>
      <c r="D131" s="19">
        <f t="shared" si="11"/>
        <v>0.59498909573574577</v>
      </c>
      <c r="E131" s="19" t="str">
        <f t="shared" si="12"/>
        <v>No</v>
      </c>
      <c r="F131" s="19" t="str">
        <f t="shared" si="13"/>
        <v>No</v>
      </c>
      <c r="G131" s="20">
        <v>0</v>
      </c>
      <c r="H131" s="19">
        <v>15.9</v>
      </c>
      <c r="I131" s="20">
        <v>1</v>
      </c>
      <c r="J131" s="20">
        <f t="shared" si="14"/>
        <v>0</v>
      </c>
      <c r="K131" s="20">
        <f t="shared" si="15"/>
        <v>0</v>
      </c>
      <c r="L131" s="20">
        <f t="shared" si="16"/>
        <v>0</v>
      </c>
      <c r="M131" s="19">
        <f t="shared" si="17"/>
        <v>0.21376991340360341</v>
      </c>
      <c r="N131" s="19">
        <v>-0.15087520947241995</v>
      </c>
      <c r="O131" s="19">
        <v>0.27322149882661145</v>
      </c>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row>
    <row r="132" spans="1:137" hidden="1" outlineLevel="1" x14ac:dyDescent="0.2">
      <c r="A132" s="17">
        <v>158</v>
      </c>
      <c r="B132" s="19">
        <f t="shared" si="9"/>
        <v>0.21217431565031758</v>
      </c>
      <c r="C132" s="19">
        <f t="shared" si="10"/>
        <v>0.11661108130586084</v>
      </c>
      <c r="D132" s="19">
        <f t="shared" si="11"/>
        <v>0.35461459914068705</v>
      </c>
      <c r="E132" s="19" t="str">
        <f t="shared" si="12"/>
        <v>No</v>
      </c>
      <c r="F132" s="19" t="str">
        <f t="shared" si="13"/>
        <v>No</v>
      </c>
      <c r="G132" s="20">
        <v>0</v>
      </c>
      <c r="H132" s="19">
        <v>12.5</v>
      </c>
      <c r="I132" s="20">
        <v>1</v>
      </c>
      <c r="J132" s="20">
        <f t="shared" si="14"/>
        <v>0</v>
      </c>
      <c r="K132" s="20">
        <f t="shared" si="15"/>
        <v>0</v>
      </c>
      <c r="L132" s="20">
        <f t="shared" si="16"/>
        <v>0</v>
      </c>
      <c r="M132" s="19">
        <f t="shared" si="17"/>
        <v>4.5017940221680597E-2</v>
      </c>
      <c r="N132" s="19">
        <v>-1.3118686721840414</v>
      </c>
      <c r="O132" s="19">
        <v>0.36380902009790955</v>
      </c>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row>
    <row r="133" spans="1:137" hidden="1" outlineLevel="1" x14ac:dyDescent="0.2">
      <c r="A133" s="17">
        <v>159</v>
      </c>
      <c r="B133" s="19">
        <f t="shared" si="9"/>
        <v>0.29567908428073802</v>
      </c>
      <c r="C133" s="19">
        <f t="shared" si="10"/>
        <v>0.18509660275511114</v>
      </c>
      <c r="D133" s="19">
        <f t="shared" si="11"/>
        <v>0.43690634522454358</v>
      </c>
      <c r="E133" s="19" t="str">
        <f t="shared" si="12"/>
        <v>No</v>
      </c>
      <c r="F133" s="19" t="str">
        <f t="shared" si="13"/>
        <v>No</v>
      </c>
      <c r="G133" s="20">
        <v>0</v>
      </c>
      <c r="H133" s="19">
        <v>13.8</v>
      </c>
      <c r="I133" s="20">
        <v>1</v>
      </c>
      <c r="J133" s="20">
        <f t="shared" si="14"/>
        <v>0</v>
      </c>
      <c r="K133" s="20">
        <f t="shared" si="15"/>
        <v>0</v>
      </c>
      <c r="L133" s="20">
        <f t="shared" si="16"/>
        <v>0</v>
      </c>
      <c r="M133" s="19">
        <f t="shared" si="17"/>
        <v>8.7426120881095776E-2</v>
      </c>
      <c r="N133" s="19">
        <v>-0.86795940702959751</v>
      </c>
      <c r="O133" s="19">
        <v>0.31338958633783526</v>
      </c>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row>
    <row r="134" spans="1:137" hidden="1" outlineLevel="1" x14ac:dyDescent="0.2">
      <c r="A134" s="17">
        <v>160</v>
      </c>
      <c r="B134" s="19">
        <f t="shared" si="9"/>
        <v>0.31009703900261432</v>
      </c>
      <c r="C134" s="19">
        <f t="shared" si="10"/>
        <v>0.19757857068704016</v>
      </c>
      <c r="D134" s="19">
        <f t="shared" si="11"/>
        <v>0.45070224647498808</v>
      </c>
      <c r="E134" s="19" t="str">
        <f t="shared" si="12"/>
        <v>No</v>
      </c>
      <c r="F134" s="19" t="str">
        <f t="shared" si="13"/>
        <v>Yes</v>
      </c>
      <c r="G134" s="20">
        <v>1</v>
      </c>
      <c r="H134" s="19">
        <v>14</v>
      </c>
      <c r="I134" s="20">
        <v>1</v>
      </c>
      <c r="J134" s="20">
        <f t="shared" si="14"/>
        <v>0</v>
      </c>
      <c r="K134" s="20">
        <f t="shared" si="15"/>
        <v>1</v>
      </c>
      <c r="L134" s="20">
        <f t="shared" si="16"/>
        <v>0</v>
      </c>
      <c r="M134" s="19">
        <f t="shared" si="17"/>
        <v>0.47596609559296027</v>
      </c>
      <c r="N134" s="19">
        <v>-0.79966567392891452</v>
      </c>
      <c r="O134" s="19">
        <v>0.30706275326394922</v>
      </c>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c r="EB134" s="70"/>
      <c r="EC134" s="70"/>
      <c r="ED134" s="70"/>
      <c r="EE134" s="70"/>
      <c r="EF134" s="70"/>
      <c r="EG134" s="70"/>
    </row>
    <row r="135" spans="1:137" hidden="1" outlineLevel="1" x14ac:dyDescent="0.2">
      <c r="A135" s="17">
        <v>161</v>
      </c>
      <c r="B135" s="19">
        <f t="shared" si="9"/>
        <v>0.1700823701693496</v>
      </c>
      <c r="C135" s="19">
        <f t="shared" si="10"/>
        <v>8.5411602907463566E-2</v>
      </c>
      <c r="D135" s="19">
        <f t="shared" si="11"/>
        <v>0.31021913157682335</v>
      </c>
      <c r="E135" s="19" t="str">
        <f t="shared" si="12"/>
        <v>No</v>
      </c>
      <c r="F135" s="19" t="str">
        <f t="shared" si="13"/>
        <v>No</v>
      </c>
      <c r="G135" s="20">
        <v>0</v>
      </c>
      <c r="H135" s="19">
        <v>11.7</v>
      </c>
      <c r="I135" s="20">
        <v>1</v>
      </c>
      <c r="J135" s="20">
        <f t="shared" si="14"/>
        <v>0</v>
      </c>
      <c r="K135" s="20">
        <f t="shared" si="15"/>
        <v>0</v>
      </c>
      <c r="L135" s="20">
        <f t="shared" si="16"/>
        <v>0</v>
      </c>
      <c r="M135" s="19">
        <f t="shared" si="17"/>
        <v>2.8928012642423662E-2</v>
      </c>
      <c r="N135" s="19">
        <v>-1.5850436045867755</v>
      </c>
      <c r="O135" s="19">
        <v>0.40100153341817824</v>
      </c>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row>
    <row r="136" spans="1:137" hidden="1" outlineLevel="1" x14ac:dyDescent="0.2">
      <c r="A136" s="17">
        <v>162</v>
      </c>
      <c r="B136" s="19">
        <f t="shared" si="9"/>
        <v>0.98227756394836629</v>
      </c>
      <c r="C136" s="19">
        <f t="shared" si="10"/>
        <v>0.91403256615241624</v>
      </c>
      <c r="D136" s="19">
        <f t="shared" si="11"/>
        <v>0.99655090163894</v>
      </c>
      <c r="E136" s="19" t="str">
        <f t="shared" si="12"/>
        <v>Yes</v>
      </c>
      <c r="F136" s="19" t="str">
        <f t="shared" si="13"/>
        <v>Yes</v>
      </c>
      <c r="G136" s="20">
        <v>1</v>
      </c>
      <c r="H136" s="19">
        <v>28.1</v>
      </c>
      <c r="I136" s="20">
        <v>1</v>
      </c>
      <c r="J136" s="20">
        <f t="shared" si="14"/>
        <v>1</v>
      </c>
      <c r="K136" s="20">
        <f t="shared" si="15"/>
        <v>0</v>
      </c>
      <c r="L136" s="20">
        <f t="shared" si="16"/>
        <v>0</v>
      </c>
      <c r="M136" s="19">
        <f t="shared" si="17"/>
        <v>3.1408473960424608E-4</v>
      </c>
      <c r="N136" s="19">
        <v>4.0150425096692777</v>
      </c>
      <c r="O136" s="19">
        <v>0.84243632528806034</v>
      </c>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row>
    <row r="137" spans="1:137" hidden="1" outlineLevel="1" x14ac:dyDescent="0.2">
      <c r="A137" s="17">
        <v>163</v>
      </c>
      <c r="B137" s="19">
        <f t="shared" si="9"/>
        <v>0.6837566759639353</v>
      </c>
      <c r="C137" s="19">
        <f t="shared" si="10"/>
        <v>0.53644812830582778</v>
      </c>
      <c r="D137" s="19">
        <f t="shared" si="11"/>
        <v>0.80156886802087224</v>
      </c>
      <c r="E137" s="19" t="str">
        <f t="shared" si="12"/>
        <v>Yes</v>
      </c>
      <c r="F137" s="19" t="str">
        <f t="shared" si="13"/>
        <v>Yes</v>
      </c>
      <c r="G137" s="20">
        <v>1</v>
      </c>
      <c r="H137" s="19">
        <v>18.600000000000001</v>
      </c>
      <c r="I137" s="20">
        <v>1</v>
      </c>
      <c r="J137" s="20">
        <f t="shared" si="14"/>
        <v>1</v>
      </c>
      <c r="K137" s="20">
        <f t="shared" si="15"/>
        <v>0</v>
      </c>
      <c r="L137" s="20">
        <f t="shared" si="16"/>
        <v>0</v>
      </c>
      <c r="M137" s="19">
        <f t="shared" si="17"/>
        <v>0.10000983999737942</v>
      </c>
      <c r="N137" s="19">
        <v>0.77109018738680835</v>
      </c>
      <c r="O137" s="19">
        <v>0.31890310845621306</v>
      </c>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c r="EB137" s="70"/>
      <c r="EC137" s="70"/>
      <c r="ED137" s="70"/>
      <c r="EE137" s="70"/>
      <c r="EF137" s="70"/>
      <c r="EG137" s="70"/>
    </row>
    <row r="138" spans="1:137" hidden="1" outlineLevel="1" x14ac:dyDescent="0.2">
      <c r="A138" s="17">
        <v>164</v>
      </c>
      <c r="B138" s="19">
        <f t="shared" si="9"/>
        <v>0.90666283824298488</v>
      </c>
      <c r="C138" s="19">
        <f t="shared" si="10"/>
        <v>0.77365056693747458</v>
      </c>
      <c r="D138" s="19">
        <f t="shared" si="11"/>
        <v>0.96504334974469408</v>
      </c>
      <c r="E138" s="19" t="str">
        <f t="shared" si="12"/>
        <v>Yes</v>
      </c>
      <c r="F138" s="19" t="str">
        <f t="shared" si="13"/>
        <v>Yes</v>
      </c>
      <c r="G138" s="20">
        <v>1</v>
      </c>
      <c r="H138" s="19">
        <v>23</v>
      </c>
      <c r="I138" s="20">
        <v>1</v>
      </c>
      <c r="J138" s="20">
        <f t="shared" si="14"/>
        <v>1</v>
      </c>
      <c r="K138" s="20">
        <f t="shared" si="15"/>
        <v>0</v>
      </c>
      <c r="L138" s="20">
        <f t="shared" si="16"/>
        <v>0</v>
      </c>
      <c r="M138" s="19">
        <f t="shared" si="17"/>
        <v>8.7118257648552064E-3</v>
      </c>
      <c r="N138" s="19">
        <v>2.2735523156018465</v>
      </c>
      <c r="O138" s="19">
        <v>0.5329240666061037</v>
      </c>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row>
    <row r="139" spans="1:137" hidden="1" outlineLevel="1" x14ac:dyDescent="0.2">
      <c r="A139" s="17">
        <v>165</v>
      </c>
      <c r="B139" s="19">
        <f t="shared" ref="B139:B174" si="18">1/(1+EXP(-N139))</f>
        <v>0.81580409962286859</v>
      </c>
      <c r="C139" s="19">
        <f t="shared" ref="C139:C174" si="19">1/(1+EXP(-(N139-$H$11*O139)))</f>
        <v>0.66516799076262134</v>
      </c>
      <c r="D139" s="19">
        <f t="shared" ref="D139:D174" si="20">1/(1+EXP(-(N139+$H$11*O139)))</f>
        <v>0.90804028006431958</v>
      </c>
      <c r="E139" s="19" t="str">
        <f t="shared" ref="E139:E174" si="21">IF(J139=0,$H$2,$I$2)</f>
        <v>Yes</v>
      </c>
      <c r="F139" s="19" t="str">
        <f t="shared" ref="F139:F170" si="22">IF(G139="","",IF(G139=0,$H$2,$I$2))</f>
        <v>Yes</v>
      </c>
      <c r="G139" s="20">
        <v>1</v>
      </c>
      <c r="H139" s="19">
        <v>20.7</v>
      </c>
      <c r="I139" s="20">
        <v>1</v>
      </c>
      <c r="J139" s="20">
        <f t="shared" ref="J139:J174" si="23">IF($B139&lt;$D$65,0,1)</f>
        <v>1</v>
      </c>
      <c r="K139" s="20">
        <f t="shared" ref="K139:K170" si="24">IF(ISBLANK($G139),"",(IF(AND(J139=0,$G139=1),1,0)))</f>
        <v>0</v>
      </c>
      <c r="L139" s="20">
        <f t="shared" ref="L139:L174" si="25">IF(ISBLANK($G139),"",(IF(AND(J139=1,$G139=0),1,0)))</f>
        <v>0</v>
      </c>
      <c r="M139" s="19">
        <f t="shared" ref="M139:M174" si="26">IF(ISBLANK($G139),"",($B139-$G139)^2)</f>
        <v>3.392812971574212E-2</v>
      </c>
      <c r="N139" s="19">
        <v>1.488174384943985</v>
      </c>
      <c r="O139" s="19">
        <v>0.40907062880393574</v>
      </c>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row>
    <row r="140" spans="1:137" hidden="1" outlineLevel="1" x14ac:dyDescent="0.2">
      <c r="A140" s="17">
        <v>166</v>
      </c>
      <c r="B140" s="19">
        <f t="shared" si="18"/>
        <v>0.97524289016251664</v>
      </c>
      <c r="C140" s="19">
        <f t="shared" si="19"/>
        <v>0.89521872927509316</v>
      </c>
      <c r="D140" s="19">
        <f t="shared" si="20"/>
        <v>0.99452435576466802</v>
      </c>
      <c r="E140" s="19" t="str">
        <f t="shared" si="21"/>
        <v>Yes</v>
      </c>
      <c r="F140" s="19" t="str">
        <f t="shared" si="22"/>
        <v>Yes</v>
      </c>
      <c r="G140" s="20">
        <v>1</v>
      </c>
      <c r="H140" s="19">
        <v>27.1</v>
      </c>
      <c r="I140" s="20">
        <v>1</v>
      </c>
      <c r="J140" s="20">
        <f t="shared" si="23"/>
        <v>1</v>
      </c>
      <c r="K140" s="20">
        <f t="shared" si="24"/>
        <v>0</v>
      </c>
      <c r="L140" s="20">
        <f t="shared" si="25"/>
        <v>0</v>
      </c>
      <c r="M140" s="19">
        <f t="shared" si="26"/>
        <v>6.1291448750521533E-4</v>
      </c>
      <c r="N140" s="19">
        <v>3.673573844165861</v>
      </c>
      <c r="O140" s="19">
        <v>0.77980045501459516</v>
      </c>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row>
    <row r="141" spans="1:137" hidden="1" outlineLevel="1" x14ac:dyDescent="0.2">
      <c r="A141" s="17">
        <v>167</v>
      </c>
      <c r="B141" s="19">
        <f t="shared" si="18"/>
        <v>8.8162935966936209E-2</v>
      </c>
      <c r="C141" s="19">
        <f t="shared" si="19"/>
        <v>3.3850727065487758E-2</v>
      </c>
      <c r="D141" s="19">
        <f t="shared" si="20"/>
        <v>0.21062013281178535</v>
      </c>
      <c r="E141" s="19" t="str">
        <f t="shared" si="21"/>
        <v>No</v>
      </c>
      <c r="F141" s="19" t="str">
        <f t="shared" si="22"/>
        <v>No</v>
      </c>
      <c r="G141" s="20">
        <v>0</v>
      </c>
      <c r="H141" s="19">
        <v>9.5</v>
      </c>
      <c r="I141" s="20">
        <v>1</v>
      </c>
      <c r="J141" s="20">
        <f t="shared" si="23"/>
        <v>0</v>
      </c>
      <c r="K141" s="20">
        <f t="shared" si="24"/>
        <v>0</v>
      </c>
      <c r="L141" s="20">
        <f t="shared" si="25"/>
        <v>0</v>
      </c>
      <c r="M141" s="19">
        <f t="shared" si="26"/>
        <v>7.7727032783100943E-3</v>
      </c>
      <c r="N141" s="19">
        <v>-2.3362746686942946</v>
      </c>
      <c r="O141" s="19">
        <v>0.51790910969141024</v>
      </c>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row>
    <row r="142" spans="1:137" hidden="1" outlineLevel="1" x14ac:dyDescent="0.2">
      <c r="A142" s="17">
        <v>168</v>
      </c>
      <c r="B142" s="19">
        <f t="shared" si="18"/>
        <v>0.97524289016251664</v>
      </c>
      <c r="C142" s="19">
        <f t="shared" si="19"/>
        <v>0.89521872927509316</v>
      </c>
      <c r="D142" s="19">
        <f t="shared" si="20"/>
        <v>0.99452435576466802</v>
      </c>
      <c r="E142" s="19" t="str">
        <f t="shared" si="21"/>
        <v>Yes</v>
      </c>
      <c r="F142" s="19" t="str">
        <f t="shared" si="22"/>
        <v>Yes</v>
      </c>
      <c r="G142" s="20">
        <v>1</v>
      </c>
      <c r="H142" s="19">
        <v>27.1</v>
      </c>
      <c r="I142" s="20">
        <v>1</v>
      </c>
      <c r="J142" s="20">
        <f t="shared" si="23"/>
        <v>1</v>
      </c>
      <c r="K142" s="20">
        <f t="shared" si="24"/>
        <v>0</v>
      </c>
      <c r="L142" s="20">
        <f t="shared" si="25"/>
        <v>0</v>
      </c>
      <c r="M142" s="19">
        <f t="shared" si="26"/>
        <v>6.1291448750521533E-4</v>
      </c>
      <c r="N142" s="19">
        <v>3.673573844165861</v>
      </c>
      <c r="O142" s="19">
        <v>0.77980045501459516</v>
      </c>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row>
    <row r="143" spans="1:137" hidden="1" outlineLevel="1" x14ac:dyDescent="0.2">
      <c r="A143" s="17">
        <v>169</v>
      </c>
      <c r="B143" s="19">
        <f t="shared" si="18"/>
        <v>0.26804839158419008</v>
      </c>
      <c r="C143" s="19">
        <f t="shared" si="19"/>
        <v>0.16164418112251763</v>
      </c>
      <c r="D143" s="19">
        <f t="shared" si="20"/>
        <v>0.41022177749799466</v>
      </c>
      <c r="E143" s="19" t="str">
        <f t="shared" si="21"/>
        <v>No</v>
      </c>
      <c r="F143" s="19" t="str">
        <f t="shared" si="22"/>
        <v>Yes</v>
      </c>
      <c r="G143" s="20">
        <v>1</v>
      </c>
      <c r="H143" s="19">
        <v>13.4</v>
      </c>
      <c r="I143" s="20">
        <v>1</v>
      </c>
      <c r="J143" s="20">
        <f t="shared" si="23"/>
        <v>0</v>
      </c>
      <c r="K143" s="20">
        <f t="shared" si="24"/>
        <v>1</v>
      </c>
      <c r="L143" s="20">
        <f t="shared" si="25"/>
        <v>0</v>
      </c>
      <c r="M143" s="19">
        <f t="shared" si="26"/>
        <v>0.53575315706249127</v>
      </c>
      <c r="N143" s="19">
        <v>-1.0045468732309644</v>
      </c>
      <c r="O143" s="19">
        <v>0.32730103221376772</v>
      </c>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row>
    <row r="144" spans="1:137" hidden="1" outlineLevel="1" x14ac:dyDescent="0.2">
      <c r="A144" s="17">
        <v>170</v>
      </c>
      <c r="B144" s="19">
        <f t="shared" si="18"/>
        <v>0.42028354023734094</v>
      </c>
      <c r="C144" s="19">
        <f t="shared" si="19"/>
        <v>0.29640225340449983</v>
      </c>
      <c r="D144" s="19">
        <f t="shared" si="20"/>
        <v>0.55509295901476674</v>
      </c>
      <c r="E144" s="19" t="str">
        <f t="shared" si="21"/>
        <v>No</v>
      </c>
      <c r="F144" s="19" t="str">
        <f t="shared" si="22"/>
        <v>Yes</v>
      </c>
      <c r="G144" s="20">
        <v>1</v>
      </c>
      <c r="H144" s="19">
        <v>15.4</v>
      </c>
      <c r="I144" s="20">
        <v>1</v>
      </c>
      <c r="J144" s="20">
        <f t="shared" si="23"/>
        <v>0</v>
      </c>
      <c r="K144" s="20">
        <f t="shared" si="24"/>
        <v>1</v>
      </c>
      <c r="L144" s="20">
        <f t="shared" si="25"/>
        <v>0</v>
      </c>
      <c r="M144" s="19">
        <f t="shared" si="26"/>
        <v>0.3360711737197507</v>
      </c>
      <c r="N144" s="19">
        <v>-0.32160954222412919</v>
      </c>
      <c r="O144" s="19">
        <v>0.27698456515814945</v>
      </c>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c r="EB144" s="70"/>
      <c r="EC144" s="70"/>
      <c r="ED144" s="70"/>
      <c r="EE144" s="70"/>
      <c r="EF144" s="70"/>
      <c r="EG144" s="70"/>
    </row>
    <row r="145" spans="1:137" hidden="1" outlineLevel="1" x14ac:dyDescent="0.2">
      <c r="A145" s="17">
        <v>171</v>
      </c>
      <c r="B145" s="19">
        <f t="shared" si="18"/>
        <v>0.9037327448484429</v>
      </c>
      <c r="C145" s="19">
        <f t="shared" si="19"/>
        <v>0.76960304926249767</v>
      </c>
      <c r="D145" s="19">
        <f t="shared" si="20"/>
        <v>0.96348169089050562</v>
      </c>
      <c r="E145" s="19" t="str">
        <f t="shared" si="21"/>
        <v>Yes</v>
      </c>
      <c r="F145" s="19" t="str">
        <f t="shared" si="22"/>
        <v>Yes</v>
      </c>
      <c r="G145" s="20">
        <v>1</v>
      </c>
      <c r="H145" s="19">
        <v>22.9</v>
      </c>
      <c r="I145" s="20">
        <v>1</v>
      </c>
      <c r="J145" s="20">
        <f t="shared" si="23"/>
        <v>1</v>
      </c>
      <c r="K145" s="20">
        <f t="shared" si="24"/>
        <v>0</v>
      </c>
      <c r="L145" s="20">
        <f t="shared" si="25"/>
        <v>0</v>
      </c>
      <c r="M145" s="19">
        <f t="shared" si="26"/>
        <v>9.2673844144149971E-3</v>
      </c>
      <c r="N145" s="19">
        <v>2.2394054490515041</v>
      </c>
      <c r="O145" s="19">
        <v>0.52722105600263369</v>
      </c>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0"/>
      <c r="DL145" s="70"/>
      <c r="DM145" s="70"/>
      <c r="DN145" s="70"/>
      <c r="DO145" s="70"/>
      <c r="DP145" s="70"/>
      <c r="DQ145" s="70"/>
      <c r="DR145" s="70"/>
      <c r="DS145" s="70"/>
      <c r="DT145" s="70"/>
      <c r="DU145" s="70"/>
      <c r="DV145" s="70"/>
      <c r="DW145" s="70"/>
      <c r="DX145" s="70"/>
      <c r="DY145" s="70"/>
      <c r="DZ145" s="70"/>
      <c r="EA145" s="70"/>
      <c r="EB145" s="70"/>
      <c r="EC145" s="70"/>
      <c r="ED145" s="70"/>
      <c r="EE145" s="70"/>
      <c r="EF145" s="70"/>
      <c r="EG145" s="70"/>
    </row>
    <row r="146" spans="1:137" hidden="1" outlineLevel="1" x14ac:dyDescent="0.2">
      <c r="A146" s="17">
        <v>172</v>
      </c>
      <c r="B146" s="19">
        <f t="shared" si="18"/>
        <v>0.3028395325501036</v>
      </c>
      <c r="C146" s="19">
        <f t="shared" si="19"/>
        <v>0.19127658737422321</v>
      </c>
      <c r="D146" s="19">
        <f t="shared" si="20"/>
        <v>0.44376676031331275</v>
      </c>
      <c r="E146" s="19" t="str">
        <f t="shared" si="21"/>
        <v>No</v>
      </c>
      <c r="F146" s="19" t="str">
        <f t="shared" si="22"/>
        <v>No</v>
      </c>
      <c r="G146" s="20">
        <v>0</v>
      </c>
      <c r="H146" s="19">
        <v>13.9</v>
      </c>
      <c r="I146" s="20">
        <v>1</v>
      </c>
      <c r="J146" s="20">
        <f t="shared" si="23"/>
        <v>0</v>
      </c>
      <c r="K146" s="20">
        <f t="shared" si="24"/>
        <v>0</v>
      </c>
      <c r="L146" s="20">
        <f t="shared" si="25"/>
        <v>0</v>
      </c>
      <c r="M146" s="19">
        <f t="shared" si="26"/>
        <v>9.171178247516526E-2</v>
      </c>
      <c r="N146" s="19">
        <v>-0.83381254047925601</v>
      </c>
      <c r="O146" s="19">
        <v>0.31017097913269026</v>
      </c>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70"/>
      <c r="DK146" s="70"/>
      <c r="DL146" s="70"/>
      <c r="DM146" s="70"/>
      <c r="DN146" s="70"/>
      <c r="DO146" s="70"/>
      <c r="DP146" s="70"/>
      <c r="DQ146" s="70"/>
      <c r="DR146" s="70"/>
      <c r="DS146" s="70"/>
      <c r="DT146" s="70"/>
      <c r="DU146" s="70"/>
      <c r="DV146" s="70"/>
      <c r="DW146" s="70"/>
      <c r="DX146" s="70"/>
      <c r="DY146" s="70"/>
      <c r="DZ146" s="70"/>
      <c r="EA146" s="70"/>
      <c r="EB146" s="70"/>
      <c r="EC146" s="70"/>
      <c r="ED146" s="70"/>
      <c r="EE146" s="70"/>
      <c r="EF146" s="70"/>
      <c r="EG146" s="70"/>
    </row>
    <row r="147" spans="1:137" hidden="1" outlineLevel="1" x14ac:dyDescent="0.2">
      <c r="A147" s="17">
        <v>173</v>
      </c>
      <c r="B147" s="19">
        <f t="shared" si="18"/>
        <v>7.7782678678947281E-2</v>
      </c>
      <c r="C147" s="19">
        <f t="shared" si="19"/>
        <v>2.8397986519786662E-2</v>
      </c>
      <c r="D147" s="19">
        <f t="shared" si="20"/>
        <v>0.19574615639928009</v>
      </c>
      <c r="E147" s="19" t="str">
        <f t="shared" si="21"/>
        <v>No</v>
      </c>
      <c r="F147" s="19" t="str">
        <f t="shared" si="22"/>
        <v>No</v>
      </c>
      <c r="G147" s="20">
        <v>0</v>
      </c>
      <c r="H147" s="19">
        <v>9.1</v>
      </c>
      <c r="I147" s="20">
        <v>1</v>
      </c>
      <c r="J147" s="20">
        <f t="shared" si="23"/>
        <v>0</v>
      </c>
      <c r="K147" s="20">
        <f t="shared" si="24"/>
        <v>0</v>
      </c>
      <c r="L147" s="20">
        <f t="shared" si="25"/>
        <v>0</v>
      </c>
      <c r="M147" s="19">
        <f t="shared" si="26"/>
        <v>6.0501451024723603E-3</v>
      </c>
      <c r="N147" s="19">
        <v>-2.4728621348956619</v>
      </c>
      <c r="O147" s="19">
        <v>0.54070681780930407</v>
      </c>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c r="DX147" s="70"/>
      <c r="DY147" s="70"/>
      <c r="DZ147" s="70"/>
      <c r="EA147" s="70"/>
      <c r="EB147" s="70"/>
      <c r="EC147" s="70"/>
      <c r="ED147" s="70"/>
      <c r="EE147" s="70"/>
      <c r="EF147" s="70"/>
      <c r="EG147" s="70"/>
    </row>
    <row r="148" spans="1:137" hidden="1" outlineLevel="1" x14ac:dyDescent="0.2">
      <c r="A148" s="17">
        <v>174</v>
      </c>
      <c r="B148" s="19">
        <f t="shared" si="18"/>
        <v>0.58107329411693365</v>
      </c>
      <c r="C148" s="19">
        <f t="shared" si="19"/>
        <v>0.44291666835683396</v>
      </c>
      <c r="D148" s="19">
        <f t="shared" si="20"/>
        <v>0.70758733782856154</v>
      </c>
      <c r="E148" s="19" t="str">
        <f t="shared" si="21"/>
        <v>Yes</v>
      </c>
      <c r="F148" s="19" t="str">
        <f t="shared" si="22"/>
        <v>No</v>
      </c>
      <c r="G148" s="20">
        <v>0</v>
      </c>
      <c r="H148" s="19">
        <v>17.3</v>
      </c>
      <c r="I148" s="20">
        <v>1</v>
      </c>
      <c r="J148" s="20">
        <f t="shared" si="23"/>
        <v>1</v>
      </c>
      <c r="K148" s="20">
        <f t="shared" si="24"/>
        <v>0</v>
      </c>
      <c r="L148" s="20">
        <f t="shared" si="25"/>
        <v>1</v>
      </c>
      <c r="M148" s="19">
        <f t="shared" si="26"/>
        <v>0.33764617313590445</v>
      </c>
      <c r="N148" s="19">
        <v>0.32718092223236539</v>
      </c>
      <c r="O148" s="19">
        <v>0.28394099000396006</v>
      </c>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row>
    <row r="149" spans="1:137" hidden="1" outlineLevel="1" x14ac:dyDescent="0.2">
      <c r="A149" s="17">
        <v>175</v>
      </c>
      <c r="B149" s="19">
        <f t="shared" si="18"/>
        <v>0.47085100424056986</v>
      </c>
      <c r="C149" s="19">
        <f t="shared" si="19"/>
        <v>0.34260669464626453</v>
      </c>
      <c r="D149" s="19">
        <f t="shared" si="20"/>
        <v>0.60306265875319731</v>
      </c>
      <c r="E149" s="19" t="str">
        <f t="shared" si="21"/>
        <v>No</v>
      </c>
      <c r="F149" s="19" t="str">
        <f t="shared" si="22"/>
        <v>Yes</v>
      </c>
      <c r="G149" s="20">
        <v>1</v>
      </c>
      <c r="H149" s="19">
        <v>16</v>
      </c>
      <c r="I149" s="20">
        <v>1</v>
      </c>
      <c r="J149" s="20">
        <f t="shared" si="23"/>
        <v>0</v>
      </c>
      <c r="K149" s="20">
        <f t="shared" si="24"/>
        <v>1</v>
      </c>
      <c r="L149" s="20">
        <f t="shared" si="25"/>
        <v>0</v>
      </c>
      <c r="M149" s="19">
        <f t="shared" si="26"/>
        <v>0.27999865971321347</v>
      </c>
      <c r="N149" s="19">
        <v>-0.11672834292207845</v>
      </c>
      <c r="O149" s="19">
        <v>0.27294940751432395</v>
      </c>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0"/>
      <c r="EA149" s="70"/>
      <c r="EB149" s="70"/>
      <c r="EC149" s="70"/>
      <c r="ED149" s="70"/>
      <c r="EE149" s="70"/>
      <c r="EF149" s="70"/>
      <c r="EG149" s="70"/>
    </row>
    <row r="150" spans="1:137" hidden="1" outlineLevel="1" x14ac:dyDescent="0.2">
      <c r="A150" s="17">
        <v>176</v>
      </c>
      <c r="B150" s="19">
        <f t="shared" si="18"/>
        <v>0.92014263927163664</v>
      </c>
      <c r="C150" s="19">
        <f t="shared" si="19"/>
        <v>0.79302758719055744</v>
      </c>
      <c r="D150" s="19">
        <f t="shared" si="20"/>
        <v>0.97194959294078076</v>
      </c>
      <c r="E150" s="19" t="str">
        <f t="shared" si="21"/>
        <v>Yes</v>
      </c>
      <c r="F150" s="19" t="str">
        <f t="shared" si="22"/>
        <v>Yes</v>
      </c>
      <c r="G150" s="20">
        <v>1</v>
      </c>
      <c r="H150" s="19">
        <v>23.5</v>
      </c>
      <c r="I150" s="20">
        <v>1</v>
      </c>
      <c r="J150" s="20">
        <f t="shared" si="23"/>
        <v>1</v>
      </c>
      <c r="K150" s="20">
        <f t="shared" si="24"/>
        <v>0</v>
      </c>
      <c r="L150" s="20">
        <f t="shared" si="25"/>
        <v>0</v>
      </c>
      <c r="M150" s="19">
        <f t="shared" si="26"/>
        <v>6.3771980624999502E-3</v>
      </c>
      <c r="N150" s="19">
        <v>2.4442866483535548</v>
      </c>
      <c r="O150" s="19">
        <v>0.56175223654815132</v>
      </c>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row>
    <row r="151" spans="1:137" hidden="1" outlineLevel="1" x14ac:dyDescent="0.2">
      <c r="A151" s="17">
        <v>177</v>
      </c>
      <c r="B151" s="19">
        <f t="shared" si="18"/>
        <v>4.3625583368256664E-2</v>
      </c>
      <c r="C151" s="19">
        <f t="shared" si="19"/>
        <v>1.2674339661353933E-2</v>
      </c>
      <c r="D151" s="19">
        <f t="shared" si="20"/>
        <v>0.13948295919936676</v>
      </c>
      <c r="E151" s="19" t="str">
        <f t="shared" si="21"/>
        <v>No</v>
      </c>
      <c r="F151" s="19" t="str">
        <f t="shared" si="22"/>
        <v>No</v>
      </c>
      <c r="G151" s="20">
        <v>0</v>
      </c>
      <c r="H151" s="19">
        <v>7.3</v>
      </c>
      <c r="I151" s="20">
        <v>1</v>
      </c>
      <c r="J151" s="20">
        <f t="shared" si="23"/>
        <v>0</v>
      </c>
      <c r="K151" s="20">
        <f t="shared" si="24"/>
        <v>0</v>
      </c>
      <c r="L151" s="20">
        <f t="shared" si="25"/>
        <v>0</v>
      </c>
      <c r="M151" s="19">
        <f t="shared" si="26"/>
        <v>1.9031915242207125E-3</v>
      </c>
      <c r="N151" s="19">
        <v>-3.0875057328018141</v>
      </c>
      <c r="O151" s="19">
        <v>0.64690716844767493</v>
      </c>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c r="DX151" s="70"/>
      <c r="DY151" s="70"/>
      <c r="DZ151" s="70"/>
      <c r="EA151" s="70"/>
      <c r="EB151" s="70"/>
      <c r="EC151" s="70"/>
      <c r="ED151" s="70"/>
      <c r="EE151" s="70"/>
      <c r="EF151" s="70"/>
      <c r="EG151" s="70"/>
    </row>
    <row r="152" spans="1:137" hidden="1" outlineLevel="1" x14ac:dyDescent="0.2">
      <c r="A152" s="17">
        <v>178</v>
      </c>
      <c r="B152" s="19">
        <f t="shared" si="18"/>
        <v>0.41198720646550108</v>
      </c>
      <c r="C152" s="19">
        <f t="shared" si="19"/>
        <v>0.2888378002301677</v>
      </c>
      <c r="D152" s="19">
        <f t="shared" si="20"/>
        <v>0.5472392939450893</v>
      </c>
      <c r="E152" s="19" t="str">
        <f t="shared" si="21"/>
        <v>No</v>
      </c>
      <c r="F152" s="19" t="str">
        <f t="shared" si="22"/>
        <v>Yes</v>
      </c>
      <c r="G152" s="20">
        <v>1</v>
      </c>
      <c r="H152" s="19">
        <v>15.3</v>
      </c>
      <c r="I152" s="20">
        <v>1</v>
      </c>
      <c r="J152" s="20">
        <f t="shared" si="23"/>
        <v>0</v>
      </c>
      <c r="K152" s="20">
        <f t="shared" si="24"/>
        <v>1</v>
      </c>
      <c r="L152" s="20">
        <f t="shared" si="25"/>
        <v>0</v>
      </c>
      <c r="M152" s="19">
        <f t="shared" si="26"/>
        <v>0.34575904536024532</v>
      </c>
      <c r="N152" s="19">
        <v>-0.35575640877447068</v>
      </c>
      <c r="O152" s="19">
        <v>0.27820860113074342</v>
      </c>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c r="EB152" s="70"/>
      <c r="EC152" s="70"/>
      <c r="ED152" s="70"/>
      <c r="EE152" s="70"/>
      <c r="EF152" s="70"/>
      <c r="EG152" s="70"/>
    </row>
    <row r="153" spans="1:137" hidden="1" outlineLevel="1" x14ac:dyDescent="0.2">
      <c r="A153" s="17">
        <v>179</v>
      </c>
      <c r="B153" s="19">
        <f t="shared" si="18"/>
        <v>0.62996394052009086</v>
      </c>
      <c r="C153" s="19">
        <f t="shared" si="19"/>
        <v>0.48725786186591252</v>
      </c>
      <c r="D153" s="19">
        <f t="shared" si="20"/>
        <v>0.75307939889397912</v>
      </c>
      <c r="E153" s="19" t="str">
        <f t="shared" si="21"/>
        <v>Yes</v>
      </c>
      <c r="F153" s="19" t="str">
        <f t="shared" si="22"/>
        <v>Yes</v>
      </c>
      <c r="G153" s="20">
        <v>1</v>
      </c>
      <c r="H153" s="19">
        <v>17.899999999999999</v>
      </c>
      <c r="I153" s="20">
        <v>1</v>
      </c>
      <c r="J153" s="20">
        <f t="shared" si="23"/>
        <v>1</v>
      </c>
      <c r="K153" s="20">
        <f t="shared" si="24"/>
        <v>0</v>
      </c>
      <c r="L153" s="20">
        <f t="shared" si="25"/>
        <v>0</v>
      </c>
      <c r="M153" s="19">
        <f t="shared" si="26"/>
        <v>0.13692668531541885</v>
      </c>
      <c r="N153" s="19">
        <v>0.53206212153441523</v>
      </c>
      <c r="O153" s="19">
        <v>0.29747572750578483</v>
      </c>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c r="DX153" s="70"/>
      <c r="DY153" s="70"/>
      <c r="DZ153" s="70"/>
      <c r="EA153" s="70"/>
      <c r="EB153" s="70"/>
      <c r="EC153" s="70"/>
      <c r="ED153" s="70"/>
      <c r="EE153" s="70"/>
      <c r="EF153" s="70"/>
      <c r="EG153" s="70"/>
    </row>
    <row r="154" spans="1:137" hidden="1" outlineLevel="1" x14ac:dyDescent="0.2">
      <c r="A154" s="17">
        <v>180</v>
      </c>
      <c r="B154" s="19">
        <f t="shared" si="18"/>
        <v>3.9545817898470094E-2</v>
      </c>
      <c r="C154" s="19">
        <f t="shared" si="19"/>
        <v>1.1058575321806817E-2</v>
      </c>
      <c r="D154" s="19">
        <f t="shared" si="20"/>
        <v>0.13164819803202213</v>
      </c>
      <c r="E154" s="19" t="str">
        <f t="shared" si="21"/>
        <v>No</v>
      </c>
      <c r="F154" s="19" t="str">
        <f t="shared" si="22"/>
        <v>Yes</v>
      </c>
      <c r="G154" s="20">
        <v>1</v>
      </c>
      <c r="H154" s="19">
        <v>7</v>
      </c>
      <c r="I154" s="20">
        <v>1</v>
      </c>
      <c r="J154" s="20">
        <f t="shared" si="23"/>
        <v>0</v>
      </c>
      <c r="K154" s="20">
        <f t="shared" si="24"/>
        <v>1</v>
      </c>
      <c r="L154" s="20">
        <f t="shared" si="25"/>
        <v>0</v>
      </c>
      <c r="M154" s="19">
        <f t="shared" si="26"/>
        <v>0.92247223591631877</v>
      </c>
      <c r="N154" s="19">
        <v>-3.1899463324528394</v>
      </c>
      <c r="O154" s="19">
        <v>0.6650543615411586</v>
      </c>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row>
    <row r="155" spans="1:137" hidden="1" outlineLevel="1" x14ac:dyDescent="0.2">
      <c r="A155" s="17">
        <v>181</v>
      </c>
      <c r="B155" s="19">
        <f t="shared" si="18"/>
        <v>0.12339573156519984</v>
      </c>
      <c r="C155" s="19">
        <f t="shared" si="19"/>
        <v>5.4318865209618997E-2</v>
      </c>
      <c r="D155" s="19">
        <f t="shared" si="20"/>
        <v>0.25649154815820985</v>
      </c>
      <c r="E155" s="19" t="str">
        <f t="shared" si="21"/>
        <v>No</v>
      </c>
      <c r="F155" s="19" t="str">
        <f t="shared" si="22"/>
        <v>Yes</v>
      </c>
      <c r="G155" s="20">
        <v>1</v>
      </c>
      <c r="H155" s="19">
        <v>10.6</v>
      </c>
      <c r="I155" s="20">
        <v>1</v>
      </c>
      <c r="J155" s="20">
        <f t="shared" si="23"/>
        <v>0</v>
      </c>
      <c r="K155" s="20">
        <f t="shared" si="24"/>
        <v>1</v>
      </c>
      <c r="L155" s="20">
        <f t="shared" si="25"/>
        <v>0</v>
      </c>
      <c r="M155" s="19">
        <f t="shared" si="26"/>
        <v>0.76843504343811109</v>
      </c>
      <c r="N155" s="19">
        <v>-1.960659136640535</v>
      </c>
      <c r="O155" s="19">
        <v>0.45734244284648157</v>
      </c>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c r="DX155" s="70"/>
      <c r="DY155" s="70"/>
      <c r="DZ155" s="70"/>
      <c r="EA155" s="70"/>
      <c r="EB155" s="70"/>
      <c r="EC155" s="70"/>
      <c r="ED155" s="70"/>
      <c r="EE155" s="70"/>
      <c r="EF155" s="70"/>
      <c r="EG155" s="70"/>
    </row>
    <row r="156" spans="1:137" hidden="1" outlineLevel="1" x14ac:dyDescent="0.2">
      <c r="A156" s="17">
        <v>182</v>
      </c>
      <c r="B156" s="19">
        <f t="shared" si="18"/>
        <v>4.3625583368256664E-2</v>
      </c>
      <c r="C156" s="19">
        <f t="shared" si="19"/>
        <v>1.2674339661353933E-2</v>
      </c>
      <c r="D156" s="19">
        <f t="shared" si="20"/>
        <v>0.13948295919936676</v>
      </c>
      <c r="E156" s="19" t="str">
        <f t="shared" si="21"/>
        <v>No</v>
      </c>
      <c r="F156" s="19" t="str">
        <f t="shared" si="22"/>
        <v>No</v>
      </c>
      <c r="G156" s="20">
        <v>0</v>
      </c>
      <c r="H156" s="19">
        <v>7.3</v>
      </c>
      <c r="I156" s="20">
        <v>1</v>
      </c>
      <c r="J156" s="20">
        <f t="shared" si="23"/>
        <v>0</v>
      </c>
      <c r="K156" s="20">
        <f t="shared" si="24"/>
        <v>0</v>
      </c>
      <c r="L156" s="20">
        <f t="shared" si="25"/>
        <v>0</v>
      </c>
      <c r="M156" s="19">
        <f t="shared" si="26"/>
        <v>1.9031915242207125E-3</v>
      </c>
      <c r="N156" s="19">
        <v>-3.0875057328018141</v>
      </c>
      <c r="O156" s="19">
        <v>0.64690716844767493</v>
      </c>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c r="EB156" s="70"/>
      <c r="EC156" s="70"/>
      <c r="ED156" s="70"/>
      <c r="EE156" s="70"/>
      <c r="EF156" s="70"/>
      <c r="EG156" s="70"/>
    </row>
    <row r="157" spans="1:137" hidden="1" outlineLevel="1" x14ac:dyDescent="0.2">
      <c r="A157" s="17">
        <v>183</v>
      </c>
      <c r="B157" s="19">
        <f t="shared" si="18"/>
        <v>0.70547984984635748</v>
      </c>
      <c r="C157" s="19">
        <f t="shared" si="19"/>
        <v>0.55660029637937758</v>
      </c>
      <c r="D157" s="19">
        <f t="shared" si="20"/>
        <v>0.82049221151716678</v>
      </c>
      <c r="E157" s="19" t="str">
        <f t="shared" si="21"/>
        <v>Yes</v>
      </c>
      <c r="F157" s="19" t="str">
        <f t="shared" si="22"/>
        <v>No</v>
      </c>
      <c r="G157" s="20">
        <v>0</v>
      </c>
      <c r="H157" s="19">
        <v>18.899999999999999</v>
      </c>
      <c r="I157" s="20">
        <v>1</v>
      </c>
      <c r="J157" s="20">
        <f t="shared" si="23"/>
        <v>1</v>
      </c>
      <c r="K157" s="20">
        <f t="shared" si="24"/>
        <v>0</v>
      </c>
      <c r="L157" s="20">
        <f t="shared" si="25"/>
        <v>1</v>
      </c>
      <c r="M157" s="19">
        <f t="shared" si="26"/>
        <v>0.49770181853923912</v>
      </c>
      <c r="N157" s="19">
        <v>0.87353078703783282</v>
      </c>
      <c r="O157" s="19">
        <v>0.32967699371965481</v>
      </c>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row>
    <row r="158" spans="1:137" hidden="1" outlineLevel="1" x14ac:dyDescent="0.2">
      <c r="A158" s="17">
        <v>184</v>
      </c>
      <c r="B158" s="19">
        <f t="shared" si="18"/>
        <v>9.38097110821592E-2</v>
      </c>
      <c r="C158" s="19">
        <f t="shared" si="19"/>
        <v>3.6933769774354711E-2</v>
      </c>
      <c r="D158" s="19">
        <f t="shared" si="20"/>
        <v>0.2184083418555044</v>
      </c>
      <c r="E158" s="19" t="str">
        <f t="shared" si="21"/>
        <v>No</v>
      </c>
      <c r="F158" s="19" t="str">
        <f t="shared" si="22"/>
        <v>No</v>
      </c>
      <c r="G158" s="20">
        <v>0</v>
      </c>
      <c r="H158" s="19">
        <v>9.6999999999999993</v>
      </c>
      <c r="I158" s="20">
        <v>1</v>
      </c>
      <c r="J158" s="20">
        <f t="shared" si="23"/>
        <v>0</v>
      </c>
      <c r="K158" s="20">
        <f t="shared" si="24"/>
        <v>0</v>
      </c>
      <c r="L158" s="20">
        <f t="shared" si="25"/>
        <v>0</v>
      </c>
      <c r="M158" s="19">
        <f t="shared" si="26"/>
        <v>8.8002618933181818E-3</v>
      </c>
      <c r="N158" s="19">
        <v>-2.2679809355936111</v>
      </c>
      <c r="O158" s="19">
        <v>0.50664958846122476</v>
      </c>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c r="DX158" s="70"/>
      <c r="DY158" s="70"/>
      <c r="DZ158" s="70"/>
      <c r="EA158" s="70"/>
      <c r="EB158" s="70"/>
      <c r="EC158" s="70"/>
      <c r="ED158" s="70"/>
      <c r="EE158" s="70"/>
      <c r="EF158" s="70"/>
      <c r="EG158" s="70"/>
    </row>
    <row r="159" spans="1:137" hidden="1" outlineLevel="1" x14ac:dyDescent="0.2">
      <c r="A159" s="17">
        <v>185</v>
      </c>
      <c r="B159" s="19">
        <f t="shared" si="18"/>
        <v>0.98286231789509371</v>
      </c>
      <c r="C159" s="19">
        <f t="shared" si="19"/>
        <v>0.91573067816230769</v>
      </c>
      <c r="D159" s="19">
        <f t="shared" si="20"/>
        <v>0.99670705412558658</v>
      </c>
      <c r="E159" s="19" t="str">
        <f t="shared" si="21"/>
        <v>Yes</v>
      </c>
      <c r="F159" s="19" t="str">
        <f t="shared" si="22"/>
        <v>Yes</v>
      </c>
      <c r="G159" s="20">
        <v>1</v>
      </c>
      <c r="H159" s="19">
        <v>28.2</v>
      </c>
      <c r="I159" s="20">
        <v>1</v>
      </c>
      <c r="J159" s="20">
        <f t="shared" si="23"/>
        <v>1</v>
      </c>
      <c r="K159" s="20">
        <f t="shared" si="24"/>
        <v>0</v>
      </c>
      <c r="L159" s="20">
        <f t="shared" si="25"/>
        <v>0</v>
      </c>
      <c r="M159" s="19">
        <f t="shared" si="26"/>
        <v>2.9370014792882542E-4</v>
      </c>
      <c r="N159" s="19">
        <v>4.0491893762196201</v>
      </c>
      <c r="O159" s="19">
        <v>0.84873241020270285</v>
      </c>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row>
    <row r="160" spans="1:137" hidden="1" outlineLevel="1" x14ac:dyDescent="0.2">
      <c r="A160" s="17">
        <v>186</v>
      </c>
      <c r="B160" s="19">
        <f t="shared" si="18"/>
        <v>0.72630812045191817</v>
      </c>
      <c r="C160" s="19">
        <f t="shared" si="19"/>
        <v>0.57617177005397957</v>
      </c>
      <c r="D160" s="19">
        <f t="shared" si="20"/>
        <v>0.83819585938355634</v>
      </c>
      <c r="E160" s="19" t="str">
        <f t="shared" si="21"/>
        <v>Yes</v>
      </c>
      <c r="F160" s="19" t="str">
        <f t="shared" si="22"/>
        <v>Yes</v>
      </c>
      <c r="G160" s="20">
        <v>1</v>
      </c>
      <c r="H160" s="19">
        <v>19.2</v>
      </c>
      <c r="I160" s="20">
        <v>1</v>
      </c>
      <c r="J160" s="20">
        <f t="shared" si="23"/>
        <v>1</v>
      </c>
      <c r="K160" s="20">
        <f t="shared" si="24"/>
        <v>0</v>
      </c>
      <c r="L160" s="20">
        <f t="shared" si="25"/>
        <v>0</v>
      </c>
      <c r="M160" s="19">
        <f t="shared" si="26"/>
        <v>7.4907244930561737E-2</v>
      </c>
      <c r="N160" s="19">
        <v>0.97597138668885819</v>
      </c>
      <c r="O160" s="19">
        <v>0.34127862497668737</v>
      </c>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row>
    <row r="161" spans="1:137" hidden="1" outlineLevel="1" x14ac:dyDescent="0.2">
      <c r="A161" s="17">
        <v>187</v>
      </c>
      <c r="B161" s="19">
        <f t="shared" si="18"/>
        <v>0.57273875720812395</v>
      </c>
      <c r="C161" s="19">
        <f t="shared" si="19"/>
        <v>0.43536085612340786</v>
      </c>
      <c r="D161" s="19">
        <f t="shared" si="20"/>
        <v>0.6997441268588197</v>
      </c>
      <c r="E161" s="19" t="str">
        <f t="shared" si="21"/>
        <v>Yes</v>
      </c>
      <c r="F161" s="19" t="str">
        <f t="shared" si="22"/>
        <v>Yes</v>
      </c>
      <c r="G161" s="20">
        <v>1</v>
      </c>
      <c r="H161" s="19">
        <v>17.2</v>
      </c>
      <c r="I161" s="20">
        <v>1</v>
      </c>
      <c r="J161" s="20">
        <f t="shared" si="23"/>
        <v>1</v>
      </c>
      <c r="K161" s="20">
        <f t="shared" si="24"/>
        <v>0</v>
      </c>
      <c r="L161" s="20">
        <f t="shared" si="25"/>
        <v>0</v>
      </c>
      <c r="M161" s="19">
        <f t="shared" si="26"/>
        <v>0.18255216959205844</v>
      </c>
      <c r="N161" s="19">
        <v>0.29303405568202301</v>
      </c>
      <c r="O161" s="19">
        <v>0.2821713369409134</v>
      </c>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row>
    <row r="162" spans="1:137" hidden="1" outlineLevel="1" x14ac:dyDescent="0.2">
      <c r="A162" s="17">
        <v>188</v>
      </c>
      <c r="B162" s="19">
        <f t="shared" si="18"/>
        <v>9.9778581955654297E-2</v>
      </c>
      <c r="C162" s="19">
        <f t="shared" si="19"/>
        <v>4.027822078741608E-2</v>
      </c>
      <c r="D162" s="19">
        <f t="shared" si="20"/>
        <v>0.22643673419262406</v>
      </c>
      <c r="E162" s="19" t="str">
        <f t="shared" si="21"/>
        <v>No</v>
      </c>
      <c r="F162" s="19" t="str">
        <f t="shared" si="22"/>
        <v>No</v>
      </c>
      <c r="G162" s="20">
        <v>0</v>
      </c>
      <c r="H162" s="19">
        <v>9.9</v>
      </c>
      <c r="I162" s="20">
        <v>1</v>
      </c>
      <c r="J162" s="20">
        <f t="shared" si="23"/>
        <v>0</v>
      </c>
      <c r="K162" s="20">
        <f t="shared" si="24"/>
        <v>0</v>
      </c>
      <c r="L162" s="20">
        <f t="shared" si="25"/>
        <v>0</v>
      </c>
      <c r="M162" s="19">
        <f t="shared" si="26"/>
        <v>9.9557654170812221E-3</v>
      </c>
      <c r="N162" s="19">
        <v>-2.1996872024929273</v>
      </c>
      <c r="O162" s="19">
        <v>0.49549141644795297</v>
      </c>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row>
    <row r="163" spans="1:137" hidden="1" outlineLevel="1" x14ac:dyDescent="0.2">
      <c r="A163" s="17">
        <v>189</v>
      </c>
      <c r="B163" s="19">
        <f t="shared" si="18"/>
        <v>0.97605409566988455</v>
      </c>
      <c r="C163" s="19">
        <f t="shared" si="19"/>
        <v>0.89725775226244819</v>
      </c>
      <c r="D163" s="19">
        <f t="shared" si="20"/>
        <v>0.99477115162315155</v>
      </c>
      <c r="E163" s="19" t="str">
        <f t="shared" si="21"/>
        <v>Yes</v>
      </c>
      <c r="F163" s="19" t="str">
        <f t="shared" si="22"/>
        <v>Yes</v>
      </c>
      <c r="G163" s="20">
        <v>1</v>
      </c>
      <c r="H163" s="19">
        <v>27.2</v>
      </c>
      <c r="I163" s="20">
        <v>1</v>
      </c>
      <c r="J163" s="20">
        <f t="shared" si="23"/>
        <v>1</v>
      </c>
      <c r="K163" s="20">
        <f t="shared" si="24"/>
        <v>0</v>
      </c>
      <c r="L163" s="20">
        <f t="shared" si="25"/>
        <v>0</v>
      </c>
      <c r="M163" s="19">
        <f t="shared" si="26"/>
        <v>5.7340633418704202E-4</v>
      </c>
      <c r="N163" s="19">
        <v>3.7077207107162016</v>
      </c>
      <c r="O163" s="19">
        <v>0.78603533308425777</v>
      </c>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row>
    <row r="164" spans="1:137" hidden="1" outlineLevel="1" x14ac:dyDescent="0.2">
      <c r="A164" s="17">
        <v>190</v>
      </c>
      <c r="B164" s="19">
        <f t="shared" si="18"/>
        <v>0.62996394052009086</v>
      </c>
      <c r="C164" s="19">
        <f t="shared" si="19"/>
        <v>0.48725786186591252</v>
      </c>
      <c r="D164" s="19">
        <f t="shared" si="20"/>
        <v>0.75307939889397912</v>
      </c>
      <c r="E164" s="19" t="str">
        <f t="shared" si="21"/>
        <v>Yes</v>
      </c>
      <c r="F164" s="19" t="str">
        <f t="shared" si="22"/>
        <v>Yes</v>
      </c>
      <c r="G164" s="20">
        <v>1</v>
      </c>
      <c r="H164" s="19">
        <v>17.899999999999999</v>
      </c>
      <c r="I164" s="20">
        <v>1</v>
      </c>
      <c r="J164" s="20">
        <f t="shared" si="23"/>
        <v>1</v>
      </c>
      <c r="K164" s="20">
        <f t="shared" si="24"/>
        <v>0</v>
      </c>
      <c r="L164" s="20">
        <f t="shared" si="25"/>
        <v>0</v>
      </c>
      <c r="M164" s="19">
        <f t="shared" si="26"/>
        <v>0.13692668531541885</v>
      </c>
      <c r="N164" s="19">
        <v>0.53206212153441523</v>
      </c>
      <c r="O164" s="19">
        <v>0.29747572750578483</v>
      </c>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row>
    <row r="165" spans="1:137" hidden="1" outlineLevel="1" x14ac:dyDescent="0.2">
      <c r="A165" s="17">
        <v>191</v>
      </c>
      <c r="B165" s="19">
        <f t="shared" si="18"/>
        <v>0.31009703900261432</v>
      </c>
      <c r="C165" s="19">
        <f t="shared" si="19"/>
        <v>0.19757857068704016</v>
      </c>
      <c r="D165" s="19">
        <f t="shared" si="20"/>
        <v>0.45070224647498808</v>
      </c>
      <c r="E165" s="19" t="str">
        <f t="shared" si="21"/>
        <v>No</v>
      </c>
      <c r="F165" s="19" t="str">
        <f t="shared" si="22"/>
        <v>Yes</v>
      </c>
      <c r="G165" s="20">
        <v>1</v>
      </c>
      <c r="H165" s="19">
        <v>14</v>
      </c>
      <c r="I165" s="20">
        <v>1</v>
      </c>
      <c r="J165" s="20">
        <f t="shared" si="23"/>
        <v>0</v>
      </c>
      <c r="K165" s="20">
        <f t="shared" si="24"/>
        <v>1</v>
      </c>
      <c r="L165" s="20">
        <f t="shared" si="25"/>
        <v>0</v>
      </c>
      <c r="M165" s="19">
        <f t="shared" si="26"/>
        <v>0.47596609559296027</v>
      </c>
      <c r="N165" s="19">
        <v>-0.79966567392891452</v>
      </c>
      <c r="O165" s="19">
        <v>0.30706275326394922</v>
      </c>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row>
    <row r="166" spans="1:137" hidden="1" outlineLevel="1" x14ac:dyDescent="0.2">
      <c r="A166" s="17">
        <v>192</v>
      </c>
      <c r="B166" s="19">
        <f t="shared" si="18"/>
        <v>0.11273540304710927</v>
      </c>
      <c r="C166" s="19">
        <f t="shared" si="19"/>
        <v>4.7826936368433291E-2</v>
      </c>
      <c r="D166" s="19">
        <f t="shared" si="20"/>
        <v>0.24323187947950659</v>
      </c>
      <c r="E166" s="19" t="str">
        <f t="shared" si="21"/>
        <v>No</v>
      </c>
      <c r="F166" s="19" t="str">
        <f t="shared" si="22"/>
        <v>Yes</v>
      </c>
      <c r="G166" s="20">
        <v>1</v>
      </c>
      <c r="H166" s="19">
        <v>10.3</v>
      </c>
      <c r="I166" s="20">
        <v>1</v>
      </c>
      <c r="J166" s="20">
        <f t="shared" si="23"/>
        <v>0</v>
      </c>
      <c r="K166" s="20">
        <f t="shared" si="24"/>
        <v>1</v>
      </c>
      <c r="L166" s="20">
        <f t="shared" si="25"/>
        <v>0</v>
      </c>
      <c r="M166" s="19">
        <f t="shared" si="26"/>
        <v>0.78723846500597561</v>
      </c>
      <c r="N166" s="19">
        <v>-2.06309973629156</v>
      </c>
      <c r="O166" s="19">
        <v>0.47350771529322794</v>
      </c>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row>
    <row r="167" spans="1:137" hidden="1" outlineLevel="1" x14ac:dyDescent="0.2">
      <c r="A167" s="17">
        <v>193</v>
      </c>
      <c r="B167" s="19">
        <f t="shared" si="18"/>
        <v>0.9400041246397991</v>
      </c>
      <c r="C167" s="19">
        <f t="shared" si="19"/>
        <v>0.82443341677705684</v>
      </c>
      <c r="D167" s="19">
        <f t="shared" si="20"/>
        <v>0.9812298496773485</v>
      </c>
      <c r="E167" s="19" t="str">
        <f t="shared" si="21"/>
        <v>Yes</v>
      </c>
      <c r="F167" s="19" t="str">
        <f t="shared" si="22"/>
        <v>Yes</v>
      </c>
      <c r="G167" s="20">
        <v>1</v>
      </c>
      <c r="H167" s="19">
        <v>24.4</v>
      </c>
      <c r="I167" s="20">
        <v>1</v>
      </c>
      <c r="J167" s="20">
        <f t="shared" si="23"/>
        <v>1</v>
      </c>
      <c r="K167" s="20">
        <f t="shared" si="24"/>
        <v>0</v>
      </c>
      <c r="L167" s="20">
        <f t="shared" si="25"/>
        <v>0</v>
      </c>
      <c r="M167" s="19">
        <f t="shared" si="26"/>
        <v>3.5995050602367616E-3</v>
      </c>
      <c r="N167" s="19">
        <v>2.7516084473066309</v>
      </c>
      <c r="O167" s="19">
        <v>0.614771718506543</v>
      </c>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c r="DX167" s="70"/>
      <c r="DY167" s="70"/>
      <c r="DZ167" s="70"/>
      <c r="EA167" s="70"/>
      <c r="EB167" s="70"/>
      <c r="EC167" s="70"/>
      <c r="ED167" s="70"/>
      <c r="EE167" s="70"/>
      <c r="EF167" s="70"/>
      <c r="EG167" s="70"/>
    </row>
    <row r="168" spans="1:137" hidden="1" outlineLevel="1" x14ac:dyDescent="0.2">
      <c r="A168" s="17">
        <v>194</v>
      </c>
      <c r="B168" s="19">
        <f t="shared" si="18"/>
        <v>0.28165781176471189</v>
      </c>
      <c r="C168" s="19">
        <f t="shared" si="19"/>
        <v>0.17311280377210073</v>
      </c>
      <c r="D168" s="19">
        <f t="shared" si="20"/>
        <v>0.42341220760950526</v>
      </c>
      <c r="E168" s="19" t="str">
        <f t="shared" si="21"/>
        <v>No</v>
      </c>
      <c r="F168" s="19" t="str">
        <f t="shared" si="22"/>
        <v>No</v>
      </c>
      <c r="G168" s="20">
        <v>0</v>
      </c>
      <c r="H168" s="19">
        <v>13.6</v>
      </c>
      <c r="I168" s="20">
        <v>1</v>
      </c>
      <c r="J168" s="20">
        <f t="shared" si="23"/>
        <v>0</v>
      </c>
      <c r="K168" s="20">
        <f t="shared" si="24"/>
        <v>0</v>
      </c>
      <c r="L168" s="20">
        <f t="shared" si="25"/>
        <v>0</v>
      </c>
      <c r="M168" s="19">
        <f t="shared" si="26"/>
        <v>7.9331122928085876E-2</v>
      </c>
      <c r="N168" s="19">
        <v>-0.93625314013028138</v>
      </c>
      <c r="O168" s="19">
        <v>0.32014451409801348</v>
      </c>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c r="DX168" s="70"/>
      <c r="DY168" s="70"/>
      <c r="DZ168" s="70"/>
      <c r="EA168" s="70"/>
      <c r="EB168" s="70"/>
      <c r="EC168" s="70"/>
      <c r="ED168" s="70"/>
      <c r="EE168" s="70"/>
      <c r="EF168" s="70"/>
      <c r="EG168" s="70"/>
    </row>
    <row r="169" spans="1:137" hidden="1" outlineLevel="1" x14ac:dyDescent="0.2">
      <c r="A169" s="17">
        <v>195</v>
      </c>
      <c r="B169" s="19">
        <f t="shared" si="18"/>
        <v>0.97076845404339729</v>
      </c>
      <c r="C169" s="19">
        <f t="shared" si="19"/>
        <v>0.88445876082144093</v>
      </c>
      <c r="D169" s="19">
        <f t="shared" si="20"/>
        <v>0.99310699069959329</v>
      </c>
      <c r="E169" s="19" t="str">
        <f t="shared" si="21"/>
        <v>Yes</v>
      </c>
      <c r="F169" s="19" t="str">
        <f t="shared" si="22"/>
        <v>Yes</v>
      </c>
      <c r="G169" s="20">
        <v>1</v>
      </c>
      <c r="H169" s="19">
        <v>26.6</v>
      </c>
      <c r="I169" s="20">
        <v>1</v>
      </c>
      <c r="J169" s="20">
        <f t="shared" si="23"/>
        <v>1</v>
      </c>
      <c r="K169" s="20">
        <f t="shared" si="24"/>
        <v>0</v>
      </c>
      <c r="L169" s="20">
        <f t="shared" si="25"/>
        <v>0</v>
      </c>
      <c r="M169" s="19">
        <f t="shared" si="26"/>
        <v>8.5448327901297631E-4</v>
      </c>
      <c r="N169" s="19">
        <v>3.5028395114141508</v>
      </c>
      <c r="O169" s="19">
        <v>0.74873372682350026</v>
      </c>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c r="DX169" s="70"/>
      <c r="DY169" s="70"/>
      <c r="DZ169" s="70"/>
      <c r="EA169" s="70"/>
      <c r="EB169" s="70"/>
      <c r="EC169" s="70"/>
      <c r="ED169" s="70"/>
      <c r="EE169" s="70"/>
      <c r="EF169" s="70"/>
      <c r="EG169" s="70"/>
    </row>
    <row r="170" spans="1:137" hidden="1" outlineLevel="1" x14ac:dyDescent="0.2">
      <c r="A170" s="17">
        <v>196</v>
      </c>
      <c r="B170" s="19">
        <f t="shared" si="18"/>
        <v>0.98775912422331857</v>
      </c>
      <c r="C170" s="19">
        <f t="shared" si="19"/>
        <v>0.93106900640265677</v>
      </c>
      <c r="D170" s="19">
        <f t="shared" si="20"/>
        <v>0.99792990512628565</v>
      </c>
      <c r="E170" s="19" t="str">
        <f t="shared" si="21"/>
        <v>Yes</v>
      </c>
      <c r="F170" s="19" t="str">
        <f t="shared" si="22"/>
        <v>Yes</v>
      </c>
      <c r="G170" s="20">
        <v>1</v>
      </c>
      <c r="H170" s="19">
        <v>29.2</v>
      </c>
      <c r="I170" s="20">
        <v>1</v>
      </c>
      <c r="J170" s="20">
        <f t="shared" si="23"/>
        <v>1</v>
      </c>
      <c r="K170" s="20">
        <f t="shared" si="24"/>
        <v>0</v>
      </c>
      <c r="L170" s="20">
        <f t="shared" si="25"/>
        <v>0</v>
      </c>
      <c r="M170" s="19">
        <f t="shared" si="26"/>
        <v>1.4983903978014611E-4</v>
      </c>
      <c r="N170" s="19">
        <v>4.3906580417230368</v>
      </c>
      <c r="O170" s="19">
        <v>0.91197112392738333</v>
      </c>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c r="DX170" s="70"/>
      <c r="DY170" s="70"/>
      <c r="DZ170" s="70"/>
      <c r="EA170" s="70"/>
      <c r="EB170" s="70"/>
      <c r="EC170" s="70"/>
      <c r="ED170" s="70"/>
      <c r="EE170" s="70"/>
      <c r="EF170" s="70"/>
      <c r="EG170" s="70"/>
    </row>
    <row r="171" spans="1:137" hidden="1" outlineLevel="1" x14ac:dyDescent="0.2">
      <c r="A171" s="17">
        <v>197</v>
      </c>
      <c r="B171" s="19">
        <f t="shared" si="18"/>
        <v>0.71946805461270469</v>
      </c>
      <c r="C171" s="19">
        <f t="shared" si="19"/>
        <v>0.56971304324680394</v>
      </c>
      <c r="D171" s="19">
        <f t="shared" si="20"/>
        <v>0.83243287441385549</v>
      </c>
      <c r="E171" s="19" t="str">
        <f t="shared" si="21"/>
        <v>Yes</v>
      </c>
      <c r="F171" s="19" t="str">
        <f t="shared" ref="F171:F174" si="27">IF(G171="","",IF(G171=0,$H$2,$I$2))</f>
        <v>No</v>
      </c>
      <c r="G171" s="20">
        <v>0</v>
      </c>
      <c r="H171" s="19">
        <v>19.100000000000001</v>
      </c>
      <c r="I171" s="20">
        <v>1</v>
      </c>
      <c r="J171" s="20">
        <f t="shared" si="23"/>
        <v>1</v>
      </c>
      <c r="K171" s="20">
        <f t="shared" ref="K171:K174" si="28">IF(ISBLANK($G171),"",(IF(AND(J171=0,$G171=1),1,0)))</f>
        <v>0</v>
      </c>
      <c r="L171" s="20">
        <f t="shared" si="25"/>
        <v>1</v>
      </c>
      <c r="M171" s="19">
        <f t="shared" si="26"/>
        <v>0.51763428160818981</v>
      </c>
      <c r="N171" s="19">
        <v>0.94182452013851758</v>
      </c>
      <c r="O171" s="19">
        <v>0.3373245894266963</v>
      </c>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c r="DX171" s="70"/>
      <c r="DY171" s="70"/>
      <c r="DZ171" s="70"/>
      <c r="EA171" s="70"/>
      <c r="EB171" s="70"/>
      <c r="EC171" s="70"/>
      <c r="ED171" s="70"/>
      <c r="EE171" s="70"/>
      <c r="EF171" s="70"/>
      <c r="EG171" s="70"/>
    </row>
    <row r="172" spans="1:137" hidden="1" outlineLevel="1" x14ac:dyDescent="0.2">
      <c r="A172" s="17">
        <v>198</v>
      </c>
      <c r="B172" s="19">
        <f t="shared" si="18"/>
        <v>0.10608277750458003</v>
      </c>
      <c r="C172" s="19">
        <f t="shared" si="19"/>
        <v>4.3902797075322249E-2</v>
      </c>
      <c r="D172" s="19">
        <f t="shared" si="20"/>
        <v>0.23470977555837905</v>
      </c>
      <c r="E172" s="19" t="str">
        <f t="shared" si="21"/>
        <v>No</v>
      </c>
      <c r="F172" s="19" t="str">
        <f t="shared" si="27"/>
        <v>No</v>
      </c>
      <c r="G172" s="20">
        <v>0</v>
      </c>
      <c r="H172" s="19">
        <v>10.1</v>
      </c>
      <c r="I172" s="20">
        <v>1</v>
      </c>
      <c r="J172" s="20">
        <f t="shared" si="23"/>
        <v>0</v>
      </c>
      <c r="K172" s="20">
        <f t="shared" si="28"/>
        <v>0</v>
      </c>
      <c r="L172" s="20">
        <f t="shared" si="25"/>
        <v>0</v>
      </c>
      <c r="M172" s="19">
        <f t="shared" si="26"/>
        <v>1.1253555683086232E-2</v>
      </c>
      <c r="N172" s="19">
        <v>-2.1313934693922438</v>
      </c>
      <c r="O172" s="19">
        <v>0.48444159684977528</v>
      </c>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c r="DX172" s="70"/>
      <c r="DY172" s="70"/>
      <c r="DZ172" s="70"/>
      <c r="EA172" s="70"/>
      <c r="EB172" s="70"/>
      <c r="EC172" s="70"/>
      <c r="ED172" s="70"/>
      <c r="EE172" s="70"/>
      <c r="EF172" s="70"/>
      <c r="EG172" s="70"/>
    </row>
    <row r="173" spans="1:137" hidden="1" outlineLevel="1" x14ac:dyDescent="0.2">
      <c r="A173" s="17">
        <v>199</v>
      </c>
      <c r="B173" s="19">
        <f t="shared" si="18"/>
        <v>0.47936635584678622</v>
      </c>
      <c r="C173" s="19">
        <f t="shared" si="19"/>
        <v>0.35038743944501177</v>
      </c>
      <c r="D173" s="19">
        <f t="shared" si="20"/>
        <v>0.61115591654764334</v>
      </c>
      <c r="E173" s="19" t="str">
        <f t="shared" si="21"/>
        <v>No</v>
      </c>
      <c r="F173" s="19" t="str">
        <f t="shared" si="27"/>
        <v>Yes</v>
      </c>
      <c r="G173" s="20">
        <v>1</v>
      </c>
      <c r="H173" s="19">
        <v>16.100000000000001</v>
      </c>
      <c r="I173" s="20">
        <v>1</v>
      </c>
      <c r="J173" s="20">
        <f t="shared" si="23"/>
        <v>0</v>
      </c>
      <c r="K173" s="20">
        <f t="shared" si="28"/>
        <v>1</v>
      </c>
      <c r="L173" s="20">
        <f t="shared" si="25"/>
        <v>0</v>
      </c>
      <c r="M173" s="19">
        <f t="shared" si="26"/>
        <v>0.27105939142425522</v>
      </c>
      <c r="N173" s="19">
        <v>-8.2581476371736073E-2</v>
      </c>
      <c r="O173" s="19">
        <v>0.27283926656284962</v>
      </c>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c r="DX173" s="70"/>
      <c r="DY173" s="70"/>
      <c r="DZ173" s="70"/>
      <c r="EA173" s="70"/>
      <c r="EB173" s="70"/>
      <c r="EC173" s="70"/>
      <c r="ED173" s="70"/>
      <c r="EE173" s="70"/>
      <c r="EF173" s="70"/>
      <c r="EG173" s="70"/>
    </row>
    <row r="174" spans="1:137" hidden="1" outlineLevel="1" x14ac:dyDescent="0.2">
      <c r="A174" s="17">
        <v>200</v>
      </c>
      <c r="B174" s="19">
        <f t="shared" si="18"/>
        <v>6.8532730643408687E-2</v>
      </c>
      <c r="C174" s="19">
        <f t="shared" si="19"/>
        <v>2.3786743096920165E-2</v>
      </c>
      <c r="D174" s="19">
        <f t="shared" si="20"/>
        <v>0.18177814570482195</v>
      </c>
      <c r="E174" s="19" t="str">
        <f t="shared" si="21"/>
        <v>No</v>
      </c>
      <c r="F174" s="19" t="str">
        <f t="shared" si="27"/>
        <v>No</v>
      </c>
      <c r="G174" s="20">
        <v>0</v>
      </c>
      <c r="H174" s="19">
        <v>8.6999999999999993</v>
      </c>
      <c r="I174" s="20">
        <v>1</v>
      </c>
      <c r="J174" s="20">
        <f t="shared" si="23"/>
        <v>0</v>
      </c>
      <c r="K174" s="20">
        <f t="shared" si="28"/>
        <v>0</v>
      </c>
      <c r="L174" s="20">
        <f t="shared" si="25"/>
        <v>0</v>
      </c>
      <c r="M174" s="19">
        <f t="shared" si="26"/>
        <v>4.6967351694420078E-3</v>
      </c>
      <c r="N174" s="19">
        <v>-2.6094496010970292</v>
      </c>
      <c r="O174" s="19">
        <v>0.56383844720446563</v>
      </c>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row>
    <row r="175" spans="1:137" collapsed="1" x14ac:dyDescent="0.2">
      <c r="A175" s="85"/>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c r="DX175" s="70"/>
      <c r="DY175" s="70"/>
      <c r="DZ175" s="70"/>
      <c r="EA175" s="70"/>
      <c r="EB175" s="70"/>
      <c r="EC175" s="70"/>
      <c r="ED175" s="70"/>
      <c r="EE175" s="70"/>
      <c r="EF175" s="70"/>
      <c r="EG175" s="70"/>
    </row>
    <row r="176" spans="1:137" x14ac:dyDescent="0.2">
      <c r="A176" s="12" t="s">
        <v>80</v>
      </c>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c r="DX176" s="70"/>
      <c r="DY176" s="70"/>
      <c r="DZ176" s="70"/>
      <c r="EA176" s="70"/>
      <c r="EB176" s="70"/>
      <c r="EC176" s="70"/>
      <c r="ED176" s="70"/>
      <c r="EE176" s="70"/>
      <c r="EF176" s="70"/>
      <c r="EG176" s="70"/>
    </row>
    <row r="177" spans="1:137" outlineLevel="1" x14ac:dyDescent="0.2">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c r="EB177" s="70"/>
      <c r="EC177" s="70"/>
      <c r="ED177" s="70"/>
      <c r="EE177" s="70"/>
      <c r="EF177" s="70"/>
      <c r="EG177" s="70"/>
    </row>
    <row r="178" spans="1:137" outlineLevel="1" x14ac:dyDescent="0.2">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c r="DX178" s="70"/>
      <c r="DY178" s="70"/>
      <c r="DZ178" s="70"/>
      <c r="EA178" s="70"/>
      <c r="EB178" s="70"/>
      <c r="EC178" s="70"/>
      <c r="ED178" s="70"/>
      <c r="EE178" s="70"/>
      <c r="EF178" s="70"/>
      <c r="EG178" s="70"/>
    </row>
    <row r="179" spans="1:137" outlineLevel="1" x14ac:dyDescent="0.2">
      <c r="A179" s="2">
        <v>16.254999999999999</v>
      </c>
      <c r="B179" s="2" t="s">
        <v>81</v>
      </c>
      <c r="C179" s="2">
        <f>EXP(G179)/(1+EXP(G179))</f>
        <v>0.49258708489949493</v>
      </c>
      <c r="D179" s="2" t="s">
        <v>83</v>
      </c>
      <c r="G179" s="2">
        <f>$B$16 * A179 + $B$15</f>
        <v>-2.9653833218707071E-2</v>
      </c>
      <c r="H179" s="2" t="s">
        <v>82</v>
      </c>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c r="DX179" s="70"/>
      <c r="DY179" s="70"/>
      <c r="DZ179" s="70"/>
      <c r="EA179" s="70"/>
      <c r="EB179" s="70"/>
      <c r="EC179" s="70"/>
      <c r="ED179" s="70"/>
      <c r="EE179" s="70"/>
      <c r="EF179" s="70"/>
      <c r="EG179" s="70"/>
    </row>
    <row r="180" spans="1:137" outlineLevel="1" x14ac:dyDescent="0.2">
      <c r="A180" s="25" t="s">
        <v>3</v>
      </c>
      <c r="B180" s="26" t="s">
        <v>35</v>
      </c>
      <c r="C180" s="26" t="s">
        <v>73</v>
      </c>
      <c r="D180" s="26" t="str">
        <f>IF($I$11&gt;99%,("Lower "&amp;TEXT($I$11,"0.0%")),("Lower "&amp;TEXT($I$11,"0%")))</f>
        <v>Lower 95%</v>
      </c>
      <c r="E180" s="26" t="str">
        <f>IF($I$11&gt;99%,("Upper "&amp;TEXT($I$11,"0.0%")),("Upper "&amp;TEXT($I$11,"0%")))</f>
        <v>Upper 95%</v>
      </c>
      <c r="F180" s="26" t="s">
        <v>84</v>
      </c>
      <c r="G180" s="26" t="s">
        <v>85</v>
      </c>
      <c r="H180" s="26" t="str">
        <f>IF($I$11&gt;99%,("Lower "&amp;TEXT($I$11,"0.0%")),("Lower "&amp;TEXT($I$11,"0%")))</f>
        <v>Lower 95%</v>
      </c>
      <c r="I180" s="26" t="str">
        <f>IF($I$11&gt;99%,("Upper "&amp;TEXT($I$11,"0.0%")),("Upper "&amp;TEXT($I$11,"0%")))</f>
        <v>Upper 95%</v>
      </c>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row>
    <row r="181" spans="1:137" outlineLevel="1" x14ac:dyDescent="0.2">
      <c r="A181" s="2">
        <v>3</v>
      </c>
      <c r="B181" s="24">
        <v>1</v>
      </c>
      <c r="C181" s="24">
        <f t="shared" ref="C181:C193" si="29">EXP(G181)/(1+EXP(G181))</f>
        <v>1.0396645606166299E-2</v>
      </c>
      <c r="D181" s="24">
        <f t="shared" ref="D181:D193" si="30">EXP(H181)/(1+EXP(H181))</f>
        <v>1.7476868020344424E-3</v>
      </c>
      <c r="E181" s="24">
        <f t="shared" ref="E181:E193" si="31">EXP(I181)/(1+EXP(I181))</f>
        <v>5.9304795393148507E-2</v>
      </c>
      <c r="F181" s="24">
        <f t="array" ref="F181">SQRT(MMULT($A$181:$B$181,MMULT($AJ$15:$AK$16,TRANSPOSE($A$181:$B$181))))</f>
        <v>0.91424740287037665</v>
      </c>
      <c r="G181" s="24">
        <f t="shared" ref="G181:G193" si="32">$B$16 * A181 + $B$15</f>
        <v>-4.5558209944665107</v>
      </c>
      <c r="H181" s="24">
        <f t="shared" ref="H181:H193" si="33">G181 - $H$11 * F181</f>
        <v>-6.3477129770517298</v>
      </c>
      <c r="I181" s="24">
        <f t="shared" ref="I181:I193" si="34">G181 + $H$11 * F181</f>
        <v>-2.7639290118812916</v>
      </c>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c r="EB181" s="70"/>
      <c r="EC181" s="70"/>
      <c r="ED181" s="70"/>
      <c r="EE181" s="70"/>
      <c r="EF181" s="70"/>
      <c r="EG181" s="70"/>
    </row>
    <row r="182" spans="1:137" outlineLevel="1" x14ac:dyDescent="0.2">
      <c r="A182" s="2">
        <f t="shared" ref="A182:A193" si="35">A181 + 2.25</f>
        <v>5.25</v>
      </c>
      <c r="B182" s="24">
        <v>1</v>
      </c>
      <c r="C182" s="24">
        <f t="shared" si="29"/>
        <v>2.2150049610072074E-2</v>
      </c>
      <c r="D182" s="24">
        <f t="shared" si="30"/>
        <v>4.9570963884173411E-3</v>
      </c>
      <c r="E182" s="24">
        <f t="shared" si="31"/>
        <v>9.3378214250814287E-2</v>
      </c>
      <c r="F182" s="24">
        <f t="array" ref="F182">SQRT(MMULT($A$182:$B$182,MMULT($AJ$15:$AK$16,TRANSPOSE($A$182:$B$182))))</f>
        <v>0.77269235891041399</v>
      </c>
      <c r="G182" s="24">
        <f t="shared" si="32"/>
        <v>-3.7875164970838204</v>
      </c>
      <c r="H182" s="24">
        <f t="shared" si="33"/>
        <v>-5.3019656916775286</v>
      </c>
      <c r="I182" s="24">
        <f t="shared" si="34"/>
        <v>-2.2730673024901122</v>
      </c>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c r="DX182" s="70"/>
      <c r="DY182" s="70"/>
      <c r="DZ182" s="70"/>
      <c r="EA182" s="70"/>
      <c r="EB182" s="70"/>
      <c r="EC182" s="70"/>
      <c r="ED182" s="70"/>
      <c r="EE182" s="70"/>
      <c r="EF182" s="70"/>
      <c r="EG182" s="70"/>
    </row>
    <row r="183" spans="1:137" outlineLevel="1" x14ac:dyDescent="0.2">
      <c r="A183" s="2">
        <f t="shared" si="35"/>
        <v>7.5</v>
      </c>
      <c r="B183" s="24">
        <v>1</v>
      </c>
      <c r="C183" s="24">
        <f t="shared" si="29"/>
        <v>4.6565446949917148E-2</v>
      </c>
      <c r="D183" s="24">
        <f t="shared" si="30"/>
        <v>1.3877208818962511E-2</v>
      </c>
      <c r="E183" s="24">
        <f t="shared" si="31"/>
        <v>0.14493514429997323</v>
      </c>
      <c r="F183" s="24">
        <f t="array" ref="F183">SQRT(MMULT($A$183:$B$183,MMULT($AJ$15:$AK$16,TRANSPOSE($A$183:$B$183))))</f>
        <v>0.63486933969563053</v>
      </c>
      <c r="G183" s="24">
        <f t="shared" si="32"/>
        <v>-3.0192119997011302</v>
      </c>
      <c r="H183" s="24">
        <f t="shared" si="33"/>
        <v>-4.2635330403932912</v>
      </c>
      <c r="I183" s="24">
        <f t="shared" si="34"/>
        <v>-1.7748909590089694</v>
      </c>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c r="DX183" s="70"/>
      <c r="DY183" s="70"/>
      <c r="DZ183" s="70"/>
      <c r="EA183" s="70"/>
      <c r="EB183" s="70"/>
      <c r="EC183" s="70"/>
      <c r="ED183" s="70"/>
      <c r="EE183" s="70"/>
      <c r="EF183" s="70"/>
      <c r="EG183" s="70"/>
    </row>
    <row r="184" spans="1:137" outlineLevel="1" x14ac:dyDescent="0.2">
      <c r="A184" s="2">
        <f t="shared" si="35"/>
        <v>9.75</v>
      </c>
      <c r="B184" s="24">
        <v>1</v>
      </c>
      <c r="C184" s="24">
        <f t="shared" si="29"/>
        <v>9.5271214355180711E-2</v>
      </c>
      <c r="D184" s="24">
        <f t="shared" si="30"/>
        <v>3.7744657398820221E-2</v>
      </c>
      <c r="E184" s="24">
        <f t="shared" si="31"/>
        <v>0.22039274744298801</v>
      </c>
      <c r="F184" s="24">
        <f t="array" ref="F184">SQRT(MMULT($A$184:$B$184,MMULT($AJ$15:$AK$16,TRANSPOSE($A$184:$B$184))))</f>
        <v>0.50385027990099029</v>
      </c>
      <c r="G184" s="24">
        <f t="shared" si="32"/>
        <v>-2.2509075023184399</v>
      </c>
      <c r="H184" s="24">
        <f t="shared" si="33"/>
        <v>-3.2384359045248061</v>
      </c>
      <c r="I184" s="24">
        <f t="shared" si="34"/>
        <v>-1.2633791001120738</v>
      </c>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c r="DX184" s="70"/>
      <c r="DY184" s="70"/>
      <c r="DZ184" s="70"/>
      <c r="EA184" s="70"/>
      <c r="EB184" s="70"/>
      <c r="EC184" s="70"/>
      <c r="ED184" s="70"/>
      <c r="EE184" s="70"/>
      <c r="EF184" s="70"/>
      <c r="EG184" s="70"/>
    </row>
    <row r="185" spans="1:137" outlineLevel="1" x14ac:dyDescent="0.2">
      <c r="A185" s="2">
        <f t="shared" si="35"/>
        <v>12</v>
      </c>
      <c r="B185" s="24">
        <v>1</v>
      </c>
      <c r="C185" s="24">
        <f t="shared" si="29"/>
        <v>0.18503457267535192</v>
      </c>
      <c r="D185" s="24">
        <f t="shared" si="30"/>
        <v>9.6184632665850187E-2</v>
      </c>
      <c r="E185" s="24">
        <f t="shared" si="31"/>
        <v>0.32632576287246473</v>
      </c>
      <c r="F185" s="24">
        <f t="array" ref="F185">SQRT(MMULT($A$185:$B$185,MMULT($AJ$15:$AK$16,TRANSPOSE($A$185:$B$185))))</f>
        <v>0.38661551925751902</v>
      </c>
      <c r="G185" s="24">
        <f t="shared" si="32"/>
        <v>-1.4826030049357497</v>
      </c>
      <c r="H185" s="24">
        <f t="shared" si="33"/>
        <v>-2.2403554985447385</v>
      </c>
      <c r="I185" s="24">
        <f t="shared" si="34"/>
        <v>-0.72485051132676093</v>
      </c>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c r="DX185" s="70"/>
      <c r="DY185" s="70"/>
      <c r="DZ185" s="70"/>
      <c r="EA185" s="70"/>
      <c r="EB185" s="70"/>
      <c r="EC185" s="70"/>
      <c r="ED185" s="70"/>
      <c r="EE185" s="70"/>
      <c r="EF185" s="70"/>
      <c r="EG185" s="70"/>
    </row>
    <row r="186" spans="1:137" outlineLevel="1" x14ac:dyDescent="0.2">
      <c r="A186" s="2">
        <f t="shared" si="35"/>
        <v>14.25</v>
      </c>
      <c r="B186" s="24">
        <v>1</v>
      </c>
      <c r="C186" s="24">
        <f t="shared" si="29"/>
        <v>0.32864972381630864</v>
      </c>
      <c r="D186" s="24">
        <f t="shared" si="30"/>
        <v>0.21384702198673844</v>
      </c>
      <c r="E186" s="24">
        <f t="shared" si="31"/>
        <v>0.46836568106575793</v>
      </c>
      <c r="F186" s="24">
        <f t="array" ref="F186">SQRT(MMULT($A$186:$B$186,MMULT($AJ$15:$AK$16,TRANSPOSE($A$186:$B$186))))</f>
        <v>0.29979733822856142</v>
      </c>
      <c r="G186" s="24">
        <f t="shared" si="32"/>
        <v>-0.71429850755305946</v>
      </c>
      <c r="H186" s="24">
        <f t="shared" si="33"/>
        <v>-1.3018904931420128</v>
      </c>
      <c r="I186" s="24">
        <f t="shared" si="34"/>
        <v>-0.12670652196410603</v>
      </c>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c r="DX186" s="70"/>
      <c r="DY186" s="70"/>
      <c r="DZ186" s="70"/>
      <c r="EA186" s="70"/>
      <c r="EB186" s="70"/>
      <c r="EC186" s="70"/>
      <c r="ED186" s="70"/>
      <c r="EE186" s="70"/>
      <c r="EF186" s="70"/>
      <c r="EG186" s="70"/>
    </row>
    <row r="187" spans="1:137" outlineLevel="1" x14ac:dyDescent="0.2">
      <c r="A187" s="2">
        <f t="shared" si="35"/>
        <v>16.5</v>
      </c>
      <c r="B187" s="24">
        <v>1</v>
      </c>
      <c r="C187" s="24">
        <f t="shared" si="29"/>
        <v>0.5134982168224822</v>
      </c>
      <c r="D187" s="24">
        <f t="shared" si="30"/>
        <v>0.38153003840598149</v>
      </c>
      <c r="E187" s="24">
        <f t="shared" si="31"/>
        <v>0.64361084932414681</v>
      </c>
      <c r="F187" s="24">
        <f t="array" ref="F187">SQRT(MMULT($A$187:$B$187,MMULT($AJ$15:$AK$16,TRANSPOSE($A$187:$B$187))))</f>
        <v>0.27401780487919841</v>
      </c>
      <c r="G187" s="24">
        <f t="shared" si="32"/>
        <v>5.4005989829630785E-2</v>
      </c>
      <c r="H187" s="24">
        <f t="shared" si="33"/>
        <v>-0.48305903885632184</v>
      </c>
      <c r="I187" s="24">
        <f t="shared" si="34"/>
        <v>0.59107101851558341</v>
      </c>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c r="EB187" s="70"/>
      <c r="EC187" s="70"/>
      <c r="ED187" s="70"/>
      <c r="EE187" s="70"/>
      <c r="EF187" s="70"/>
      <c r="EG187" s="70"/>
    </row>
    <row r="188" spans="1:137" outlineLevel="1" x14ac:dyDescent="0.2">
      <c r="A188" s="2">
        <f t="shared" si="35"/>
        <v>18.75</v>
      </c>
      <c r="B188" s="24">
        <v>1</v>
      </c>
      <c r="C188" s="24">
        <f t="shared" si="29"/>
        <v>0.6947265721890189</v>
      </c>
      <c r="D188" s="24">
        <f t="shared" si="30"/>
        <v>0.54659611550034759</v>
      </c>
      <c r="E188" s="24">
        <f t="shared" si="31"/>
        <v>0.81117974202747611</v>
      </c>
      <c r="F188" s="24">
        <f t="array" ref="F188">SQRT(MMULT($A$188:$B$188,MMULT($AJ$15:$AK$16,TRANSPOSE($A$188:$B$188))))</f>
        <v>0.32418127625822724</v>
      </c>
      <c r="G188" s="24">
        <f t="shared" si="32"/>
        <v>0.82231048721232103</v>
      </c>
      <c r="H188" s="24">
        <f t="shared" si="33"/>
        <v>0.18692686128396607</v>
      </c>
      <c r="I188" s="24">
        <f t="shared" si="34"/>
        <v>1.457694113140676</v>
      </c>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c r="DX188" s="70"/>
      <c r="DY188" s="70"/>
      <c r="DZ188" s="70"/>
      <c r="EA188" s="70"/>
      <c r="EB188" s="70"/>
      <c r="EC188" s="70"/>
      <c r="ED188" s="70"/>
      <c r="EE188" s="70"/>
      <c r="EF188" s="70"/>
      <c r="EG188" s="70"/>
    </row>
    <row r="189" spans="1:137" outlineLevel="1" x14ac:dyDescent="0.2">
      <c r="A189" s="2">
        <f t="shared" si="35"/>
        <v>21</v>
      </c>
      <c r="B189" s="24">
        <v>1</v>
      </c>
      <c r="C189" s="24">
        <f t="shared" si="29"/>
        <v>0.83070260949738561</v>
      </c>
      <c r="D189" s="24">
        <f t="shared" si="30"/>
        <v>0.68120170308107963</v>
      </c>
      <c r="E189" s="24">
        <f t="shared" si="31"/>
        <v>0.91848437137698702</v>
      </c>
      <c r="F189" s="24">
        <f t="array" ref="F189">SQRT(MMULT($A$189:$B$189,MMULT($AJ$15:$AK$16,TRANSPOSE($A$189:$B$189))))</f>
        <v>0.42414817159304852</v>
      </c>
      <c r="G189" s="24">
        <f t="shared" si="32"/>
        <v>1.5906149845950113</v>
      </c>
      <c r="H189" s="24">
        <f t="shared" si="33"/>
        <v>0.75929984416412155</v>
      </c>
      <c r="I189" s="24">
        <f t="shared" si="34"/>
        <v>2.4219301250259009</v>
      </c>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c r="DX189" s="70"/>
      <c r="DY189" s="70"/>
      <c r="DZ189" s="70"/>
      <c r="EA189" s="70"/>
      <c r="EB189" s="70"/>
      <c r="EC189" s="70"/>
      <c r="ED189" s="70"/>
      <c r="EE189" s="70"/>
      <c r="EF189" s="70"/>
      <c r="EG189" s="70"/>
    </row>
    <row r="190" spans="1:137" outlineLevel="1" x14ac:dyDescent="0.2">
      <c r="A190" s="2">
        <f t="shared" si="35"/>
        <v>23.25</v>
      </c>
      <c r="B190" s="24">
        <v>1</v>
      </c>
      <c r="C190" s="24">
        <f t="shared" si="29"/>
        <v>0.91364058914672541</v>
      </c>
      <c r="D190" s="24">
        <f t="shared" si="30"/>
        <v>0.78351680242252464</v>
      </c>
      <c r="E190" s="24">
        <f t="shared" si="31"/>
        <v>0.96867641807188731</v>
      </c>
      <c r="F190" s="24">
        <f t="array" ref="F190">SQRT(MMULT($A$190:$B$190,MMULT($AJ$15:$AK$16,TRANSPOSE($A$190:$B$190))))</f>
        <v>0.54727531659919892</v>
      </c>
      <c r="G190" s="24">
        <f t="shared" si="32"/>
        <v>2.3589194819777015</v>
      </c>
      <c r="H190" s="24">
        <f t="shared" si="33"/>
        <v>1.2862795718155162</v>
      </c>
      <c r="I190" s="24">
        <f t="shared" si="34"/>
        <v>3.4315593921398868</v>
      </c>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c r="EB190" s="70"/>
      <c r="EC190" s="70"/>
      <c r="ED190" s="70"/>
      <c r="EE190" s="70"/>
      <c r="EF190" s="70"/>
      <c r="EG190" s="70"/>
    </row>
    <row r="191" spans="1:137" outlineLevel="1" x14ac:dyDescent="0.2">
      <c r="A191" s="2">
        <f t="shared" si="35"/>
        <v>25.5</v>
      </c>
      <c r="B191" s="24">
        <v>1</v>
      </c>
      <c r="C191" s="24">
        <f t="shared" si="29"/>
        <v>0.95800184356167062</v>
      </c>
      <c r="D191" s="24">
        <f t="shared" si="30"/>
        <v>0.85720422422567211</v>
      </c>
      <c r="E191" s="24">
        <f t="shared" si="31"/>
        <v>0.98859448526320781</v>
      </c>
      <c r="F191" s="24">
        <f t="array" ref="F191">SQRT(MMULT($A$191:$B$191,MMULT($AJ$15:$AK$16,TRANSPOSE($A$191:$B$191))))</f>
        <v>0.68111621765708619</v>
      </c>
      <c r="G191" s="24">
        <f t="shared" si="32"/>
        <v>3.1272239793603918</v>
      </c>
      <c r="H191" s="24">
        <f t="shared" si="33"/>
        <v>1.7922607234663588</v>
      </c>
      <c r="I191" s="24">
        <f t="shared" si="34"/>
        <v>4.462187235254425</v>
      </c>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c r="EB191" s="70"/>
      <c r="EC191" s="70"/>
      <c r="ED191" s="70"/>
      <c r="EE191" s="70"/>
      <c r="EF191" s="70"/>
      <c r="EG191" s="70"/>
    </row>
    <row r="192" spans="1:137" outlineLevel="1" x14ac:dyDescent="0.2">
      <c r="A192" s="2">
        <f t="shared" si="35"/>
        <v>27.75</v>
      </c>
      <c r="B192" s="24">
        <v>1</v>
      </c>
      <c r="C192" s="24">
        <f t="shared" si="29"/>
        <v>0.98007255108252167</v>
      </c>
      <c r="D192" s="24">
        <f t="shared" si="30"/>
        <v>0.90783542739762069</v>
      </c>
      <c r="E192" s="24">
        <f t="shared" si="31"/>
        <v>0.99594430653158483</v>
      </c>
      <c r="F192" s="24">
        <f t="array" ref="F192">SQRT(MMULT($A$192:$B$192,MMULT($AJ$15:$AK$16,TRANSPOSE($A$192:$B$192))))</f>
        <v>0.82044424603744526</v>
      </c>
      <c r="G192" s="24">
        <f t="shared" si="32"/>
        <v>3.895528476743082</v>
      </c>
      <c r="H192" s="24">
        <f t="shared" si="33"/>
        <v>2.2874873031865706</v>
      </c>
      <c r="I192" s="24">
        <f t="shared" si="34"/>
        <v>5.5035696502995934</v>
      </c>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c r="DX192" s="70"/>
      <c r="DY192" s="70"/>
      <c r="DZ192" s="70"/>
      <c r="EA192" s="70"/>
      <c r="EB192" s="70"/>
      <c r="EC192" s="70"/>
      <c r="ED192" s="70"/>
      <c r="EE192" s="70"/>
      <c r="EF192" s="70"/>
      <c r="EG192" s="70"/>
    </row>
    <row r="193" spans="1:137" outlineLevel="1" x14ac:dyDescent="0.2">
      <c r="A193" s="2">
        <f t="shared" si="35"/>
        <v>30</v>
      </c>
      <c r="B193" s="24">
        <v>1</v>
      </c>
      <c r="C193" s="24">
        <f t="shared" si="29"/>
        <v>0.9906578516214225</v>
      </c>
      <c r="D193" s="24">
        <f t="shared" si="30"/>
        <v>0.94139937399733586</v>
      </c>
      <c r="E193" s="24">
        <f t="shared" si="31"/>
        <v>0.99857341452174353</v>
      </c>
      <c r="F193" s="24">
        <f t="array" ref="F193">SQRT(MMULT($A$193:$B$193,MMULT($AJ$15:$AK$16,TRANSPOSE($A$193:$B$193))))</f>
        <v>0.96288039177258311</v>
      </c>
      <c r="G193" s="24">
        <f t="shared" si="32"/>
        <v>4.6638329741257722</v>
      </c>
      <c r="H193" s="24">
        <f t="shared" si="33"/>
        <v>2.7766220848316925</v>
      </c>
      <c r="I193" s="24">
        <f t="shared" si="34"/>
        <v>6.551043863419852</v>
      </c>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c r="DX193" s="70"/>
      <c r="DY193" s="70"/>
      <c r="DZ193" s="70"/>
      <c r="EA193" s="70"/>
      <c r="EB193" s="70"/>
      <c r="EC193" s="70"/>
      <c r="ED193" s="70"/>
      <c r="EE193" s="70"/>
      <c r="EF193" s="70"/>
      <c r="EG193" s="70"/>
    </row>
    <row r="194" spans="1:137" outlineLevel="1" x14ac:dyDescent="0.2">
      <c r="B194" s="2" t="str">
        <f xml:space="preserve"> "Logistic Regression Curve -vs- " &amp; $A$180 &amp; " 
Model 1 for Y    (1 variable, n=100)"</f>
        <v>Logistic Regression Curve -vs- X_1 
Model 1 for Y    (1 variable, n=100)</v>
      </c>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c r="DX194" s="70"/>
      <c r="DY194" s="70"/>
      <c r="DZ194" s="70"/>
      <c r="EA194" s="70"/>
      <c r="EB194" s="70"/>
      <c r="EC194" s="70"/>
      <c r="ED194" s="70"/>
      <c r="EE194" s="70"/>
      <c r="EF194" s="70"/>
      <c r="EG194" s="70"/>
    </row>
    <row r="195" spans="1:137" outlineLevel="1" x14ac:dyDescent="0.2">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c r="DX195" s="70"/>
      <c r="DY195" s="70"/>
      <c r="DZ195" s="70"/>
      <c r="EA195" s="70"/>
      <c r="EB195" s="70"/>
      <c r="EC195" s="70"/>
      <c r="ED195" s="70"/>
      <c r="EE195" s="70"/>
      <c r="EF195" s="70"/>
      <c r="EG195" s="70"/>
    </row>
    <row r="196" spans="1:137" outlineLevel="1" x14ac:dyDescent="0.2">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c r="DX196" s="70"/>
      <c r="DY196" s="70"/>
      <c r="DZ196" s="70"/>
      <c r="EA196" s="70"/>
      <c r="EB196" s="70"/>
      <c r="EC196" s="70"/>
      <c r="ED196" s="70"/>
      <c r="EE196" s="70"/>
      <c r="EF196" s="70"/>
      <c r="EG196" s="70"/>
    </row>
    <row r="197" spans="1:137" outlineLevel="1" x14ac:dyDescent="0.2">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c r="DX197" s="70"/>
      <c r="DY197" s="70"/>
      <c r="DZ197" s="70"/>
      <c r="EA197" s="70"/>
      <c r="EB197" s="70"/>
      <c r="EC197" s="70"/>
      <c r="ED197" s="70"/>
      <c r="EE197" s="70"/>
      <c r="EF197" s="70"/>
      <c r="EG197" s="70"/>
    </row>
    <row r="198" spans="1:137" x14ac:dyDescent="0.2">
      <c r="A198" s="86"/>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c r="EB198" s="70"/>
      <c r="EC198" s="70"/>
      <c r="ED198" s="70"/>
      <c r="EE198" s="70"/>
      <c r="EF198" s="70"/>
      <c r="EG198" s="70"/>
    </row>
    <row r="199" spans="1:137" x14ac:dyDescent="0.2">
      <c r="A199" s="12" t="s">
        <v>86</v>
      </c>
      <c r="AJ199" s="82" t="s">
        <v>116</v>
      </c>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row>
    <row r="200" spans="1:137" outlineLevel="1" x14ac:dyDescent="0.2">
      <c r="AJ200" s="82" t="s">
        <v>117</v>
      </c>
      <c r="AK200" s="70">
        <v>0</v>
      </c>
      <c r="AL200" s="70">
        <v>0.05</v>
      </c>
      <c r="AM200" s="70">
        <v>0.1</v>
      </c>
      <c r="AN200" s="70">
        <v>0.15000000000000002</v>
      </c>
      <c r="AO200" s="70">
        <v>0.2</v>
      </c>
      <c r="AP200" s="70">
        <v>0.25</v>
      </c>
      <c r="AQ200" s="70">
        <v>0.3</v>
      </c>
      <c r="AR200" s="70">
        <v>0.35</v>
      </c>
      <c r="AS200" s="70">
        <v>0.39999999999999997</v>
      </c>
      <c r="AT200" s="70">
        <v>0.44999999999999996</v>
      </c>
      <c r="AU200" s="70">
        <v>0.49999999999999994</v>
      </c>
      <c r="AV200" s="70">
        <v>0.54999999999999993</v>
      </c>
      <c r="AW200" s="70">
        <v>0.6</v>
      </c>
      <c r="AX200" s="70">
        <v>0.65</v>
      </c>
      <c r="AY200" s="70">
        <v>0.70000000000000007</v>
      </c>
      <c r="AZ200" s="70">
        <v>0.75000000000000011</v>
      </c>
      <c r="BA200" s="70">
        <v>0.80000000000000016</v>
      </c>
      <c r="BB200" s="70">
        <v>0.8500000000000002</v>
      </c>
      <c r="BC200" s="70">
        <v>0.90000000000000024</v>
      </c>
      <c r="BD200" s="70">
        <v>0.95000000000000029</v>
      </c>
      <c r="BE200" s="70">
        <v>1.0000000000000002</v>
      </c>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c r="EB200" s="70"/>
      <c r="EC200" s="70"/>
      <c r="ED200" s="70"/>
      <c r="EE200" s="70"/>
      <c r="EF200" s="70"/>
      <c r="EG200" s="70"/>
    </row>
    <row r="201" spans="1:137" outlineLevel="1" x14ac:dyDescent="0.2">
      <c r="AJ201" s="82" t="s">
        <v>118</v>
      </c>
      <c r="AK201" s="70">
        <v>0</v>
      </c>
      <c r="AL201" s="70">
        <v>0</v>
      </c>
      <c r="AM201" s="70">
        <v>0</v>
      </c>
      <c r="AN201" s="70">
        <v>1</v>
      </c>
      <c r="AO201" s="70">
        <v>3</v>
      </c>
      <c r="AP201" s="70">
        <v>3</v>
      </c>
      <c r="AQ201" s="70">
        <v>5</v>
      </c>
      <c r="AR201" s="70">
        <v>5</v>
      </c>
      <c r="AS201" s="70">
        <v>10</v>
      </c>
      <c r="AT201" s="70">
        <v>11</v>
      </c>
      <c r="AU201" s="70">
        <v>13</v>
      </c>
      <c r="AV201" s="70">
        <v>14</v>
      </c>
      <c r="AW201" s="70">
        <v>15</v>
      </c>
      <c r="AX201" s="70">
        <v>16</v>
      </c>
      <c r="AY201" s="70">
        <v>17</v>
      </c>
      <c r="AZ201" s="70">
        <v>21</v>
      </c>
      <c r="BA201" s="70">
        <v>21</v>
      </c>
      <c r="BB201" s="70">
        <v>27</v>
      </c>
      <c r="BC201" s="70">
        <v>32</v>
      </c>
      <c r="BD201" s="70">
        <v>37</v>
      </c>
      <c r="BE201" s="70">
        <v>49</v>
      </c>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c r="EB201" s="70"/>
      <c r="EC201" s="70"/>
      <c r="ED201" s="70"/>
      <c r="EE201" s="70"/>
      <c r="EF201" s="70"/>
      <c r="EG201" s="70"/>
    </row>
    <row r="202" spans="1:137" outlineLevel="1" x14ac:dyDescent="0.2">
      <c r="AJ202" s="82" t="s">
        <v>119</v>
      </c>
      <c r="AK202" s="70">
        <v>0</v>
      </c>
      <c r="AL202" s="70">
        <v>9</v>
      </c>
      <c r="AM202" s="70">
        <v>19</v>
      </c>
      <c r="AN202" s="70">
        <v>24</v>
      </c>
      <c r="AO202" s="70">
        <v>25</v>
      </c>
      <c r="AP202" s="70">
        <v>30</v>
      </c>
      <c r="AQ202" s="70">
        <v>35</v>
      </c>
      <c r="AR202" s="70">
        <v>36</v>
      </c>
      <c r="AS202" s="70">
        <v>36</v>
      </c>
      <c r="AT202" s="70">
        <v>40</v>
      </c>
      <c r="AU202" s="70">
        <v>41</v>
      </c>
      <c r="AV202" s="70">
        <v>43</v>
      </c>
      <c r="AW202" s="70">
        <v>44</v>
      </c>
      <c r="AX202" s="70">
        <v>44</v>
      </c>
      <c r="AY202" s="70">
        <v>47</v>
      </c>
      <c r="AZ202" s="70">
        <v>48</v>
      </c>
      <c r="BA202" s="70">
        <v>49</v>
      </c>
      <c r="BB202" s="70">
        <v>50</v>
      </c>
      <c r="BC202" s="70">
        <v>50</v>
      </c>
      <c r="BD202" s="70">
        <v>51</v>
      </c>
      <c r="BE202" s="70">
        <v>51</v>
      </c>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c r="EB202" s="70"/>
      <c r="EC202" s="70"/>
      <c r="ED202" s="70"/>
      <c r="EE202" s="70"/>
      <c r="EF202" s="70"/>
      <c r="EG202" s="70"/>
    </row>
    <row r="203" spans="1:137" outlineLevel="1" x14ac:dyDescent="0.2">
      <c r="AJ203" s="82"/>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c r="EB203" s="70"/>
      <c r="EC203" s="70"/>
      <c r="ED203" s="70"/>
      <c r="EE203" s="70"/>
      <c r="EF203" s="70"/>
      <c r="EG203" s="70"/>
    </row>
    <row r="204" spans="1:137" outlineLevel="1" x14ac:dyDescent="0.2">
      <c r="AJ204" s="82" t="s">
        <v>120</v>
      </c>
      <c r="AK204" s="70">
        <v>0.05</v>
      </c>
      <c r="AL204" s="70">
        <v>0.1</v>
      </c>
      <c r="AM204" s="70">
        <v>0.15000000000000002</v>
      </c>
      <c r="AN204" s="70">
        <v>0.2</v>
      </c>
      <c r="AO204" s="70">
        <v>0.25</v>
      </c>
      <c r="AP204" s="70">
        <v>0.3</v>
      </c>
      <c r="AQ204" s="70">
        <v>0.35</v>
      </c>
      <c r="AR204" s="70">
        <v>0.39999999999999997</v>
      </c>
      <c r="AS204" s="70">
        <v>0.44999999999999996</v>
      </c>
      <c r="AT204" s="70">
        <v>0.49999999999999994</v>
      </c>
      <c r="AU204" s="70">
        <v>0.54999999999999993</v>
      </c>
      <c r="AV204" s="70">
        <v>0.6</v>
      </c>
      <c r="AW204" s="70">
        <v>0.65</v>
      </c>
      <c r="AX204" s="70">
        <v>0.70000000000000007</v>
      </c>
      <c r="AY204" s="70">
        <v>0.75000000000000011</v>
      </c>
      <c r="AZ204" s="70">
        <v>0.80000000000000016</v>
      </c>
      <c r="BA204" s="70">
        <v>0.8500000000000002</v>
      </c>
      <c r="BB204" s="70">
        <v>0.90000000000000024</v>
      </c>
      <c r="BC204" s="70">
        <v>0.95000000000000029</v>
      </c>
      <c r="BD204" s="70">
        <v>1.0000000000000002</v>
      </c>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row>
    <row r="205" spans="1:137" outlineLevel="1" x14ac:dyDescent="0.2">
      <c r="AJ205" s="82" t="s">
        <v>118</v>
      </c>
      <c r="AK205" s="70">
        <v>0</v>
      </c>
      <c r="AL205" s="70">
        <v>0</v>
      </c>
      <c r="AM205" s="70">
        <v>1</v>
      </c>
      <c r="AN205" s="70">
        <v>2</v>
      </c>
      <c r="AO205" s="70">
        <v>0</v>
      </c>
      <c r="AP205" s="70">
        <v>2</v>
      </c>
      <c r="AQ205" s="70">
        <v>0</v>
      </c>
      <c r="AR205" s="70">
        <v>5</v>
      </c>
      <c r="AS205" s="70">
        <v>1</v>
      </c>
      <c r="AT205" s="70">
        <v>2</v>
      </c>
      <c r="AU205" s="70">
        <v>1</v>
      </c>
      <c r="AV205" s="70">
        <v>1</v>
      </c>
      <c r="AW205" s="70">
        <v>1</v>
      </c>
      <c r="AX205" s="70">
        <v>1</v>
      </c>
      <c r="AY205" s="70">
        <v>4</v>
      </c>
      <c r="AZ205" s="70">
        <v>0</v>
      </c>
      <c r="BA205" s="70">
        <v>6</v>
      </c>
      <c r="BB205" s="70">
        <v>5</v>
      </c>
      <c r="BC205" s="70">
        <v>5</v>
      </c>
      <c r="BD205" s="70">
        <v>12</v>
      </c>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row>
    <row r="206" spans="1:137" outlineLevel="1" x14ac:dyDescent="0.2">
      <c r="AJ206" s="82" t="s">
        <v>119</v>
      </c>
      <c r="AK206" s="70">
        <v>-9</v>
      </c>
      <c r="AL206" s="70">
        <v>-10</v>
      </c>
      <c r="AM206" s="70">
        <v>-5</v>
      </c>
      <c r="AN206" s="70">
        <v>-1</v>
      </c>
      <c r="AO206" s="70">
        <v>-5</v>
      </c>
      <c r="AP206" s="70">
        <v>-5</v>
      </c>
      <c r="AQ206" s="70">
        <v>-1</v>
      </c>
      <c r="AR206" s="70">
        <v>0</v>
      </c>
      <c r="AS206" s="70">
        <v>-4</v>
      </c>
      <c r="AT206" s="70">
        <v>-1</v>
      </c>
      <c r="AU206" s="70">
        <v>-2</v>
      </c>
      <c r="AV206" s="70">
        <v>-1</v>
      </c>
      <c r="AW206" s="70">
        <v>0</v>
      </c>
      <c r="AX206" s="70">
        <v>-3</v>
      </c>
      <c r="AY206" s="70">
        <v>-1</v>
      </c>
      <c r="AZ206" s="70">
        <v>-1</v>
      </c>
      <c r="BA206" s="70">
        <v>-1</v>
      </c>
      <c r="BB206" s="70">
        <v>0</v>
      </c>
      <c r="BC206" s="70">
        <v>-1</v>
      </c>
      <c r="BD206" s="70">
        <v>0</v>
      </c>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row>
    <row r="207" spans="1:137" outlineLevel="1" x14ac:dyDescent="0.2">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c r="EB207" s="70"/>
      <c r="EC207" s="70"/>
      <c r="ED207" s="70"/>
      <c r="EE207" s="70"/>
      <c r="EF207" s="70"/>
      <c r="EG207" s="70"/>
    </row>
    <row r="208" spans="1:137" outlineLevel="1" x14ac:dyDescent="0.2">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c r="EB208" s="70"/>
      <c r="EC208" s="70"/>
      <c r="ED208" s="70"/>
      <c r="EE208" s="70"/>
      <c r="EF208" s="70"/>
      <c r="EG208" s="70"/>
    </row>
    <row r="209" spans="1:137" outlineLevel="1" x14ac:dyDescent="0.2">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row>
    <row r="210" spans="1:137" outlineLevel="1" x14ac:dyDescent="0.2">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c r="EB210" s="70"/>
      <c r="EC210" s="70"/>
      <c r="ED210" s="70"/>
      <c r="EE210" s="70"/>
      <c r="EF210" s="70"/>
      <c r="EG210" s="70"/>
    </row>
    <row r="211" spans="1:137" outlineLevel="1" x14ac:dyDescent="0.2">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row>
    <row r="212" spans="1:137" outlineLevel="1" x14ac:dyDescent="0.2">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c r="DX212" s="70"/>
      <c r="DY212" s="70"/>
      <c r="DZ212" s="70"/>
      <c r="EA212" s="70"/>
      <c r="EB212" s="70"/>
      <c r="EC212" s="70"/>
      <c r="ED212" s="70"/>
      <c r="EE212" s="70"/>
      <c r="EF212" s="70"/>
      <c r="EG212" s="70"/>
    </row>
    <row r="213" spans="1:137" outlineLevel="1" x14ac:dyDescent="0.2">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c r="DX213" s="70"/>
      <c r="DY213" s="70"/>
      <c r="DZ213" s="70"/>
      <c r="EA213" s="70"/>
      <c r="EB213" s="70"/>
      <c r="EC213" s="70"/>
      <c r="ED213" s="70"/>
      <c r="EE213" s="70"/>
      <c r="EF213" s="70"/>
      <c r="EG213" s="70"/>
    </row>
    <row r="214" spans="1:137" outlineLevel="1" x14ac:dyDescent="0.2">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c r="DX214" s="70"/>
      <c r="DY214" s="70"/>
      <c r="DZ214" s="70"/>
      <c r="EA214" s="70"/>
      <c r="EB214" s="70"/>
      <c r="EC214" s="70"/>
      <c r="ED214" s="70"/>
      <c r="EE214" s="70"/>
      <c r="EF214" s="70"/>
      <c r="EG214" s="70"/>
    </row>
    <row r="215" spans="1:137" outlineLevel="1" x14ac:dyDescent="0.2">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c r="EB215" s="70"/>
      <c r="EC215" s="70"/>
      <c r="ED215" s="70"/>
      <c r="EE215" s="70"/>
      <c r="EF215" s="70"/>
      <c r="EG215" s="70"/>
    </row>
    <row r="216" spans="1:137" outlineLevel="1" x14ac:dyDescent="0.2">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c r="EB216" s="70"/>
      <c r="EC216" s="70"/>
      <c r="ED216" s="70"/>
      <c r="EE216" s="70"/>
      <c r="EF216" s="70"/>
      <c r="EG216" s="70"/>
    </row>
    <row r="217" spans="1:137" outlineLevel="1" x14ac:dyDescent="0.2">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row>
    <row r="218" spans="1:137" outlineLevel="1" x14ac:dyDescent="0.2">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row>
    <row r="219" spans="1:137" outlineLevel="1" x14ac:dyDescent="0.2">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c r="DX219" s="70"/>
      <c r="DY219" s="70"/>
      <c r="DZ219" s="70"/>
      <c r="EA219" s="70"/>
      <c r="EB219" s="70"/>
      <c r="EC219" s="70"/>
      <c r="ED219" s="70"/>
      <c r="EE219" s="70"/>
      <c r="EF219" s="70"/>
      <c r="EG219" s="70"/>
    </row>
    <row r="220" spans="1:137" x14ac:dyDescent="0.2">
      <c r="A220" s="86"/>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row>
    <row r="221" spans="1:137" x14ac:dyDescent="0.2">
      <c r="A221" s="12" t="s">
        <v>87</v>
      </c>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c r="EA221" s="70"/>
      <c r="EB221" s="70"/>
      <c r="EC221" s="70"/>
      <c r="ED221" s="70"/>
      <c r="EE221" s="70"/>
      <c r="EF221" s="70"/>
      <c r="EG221" s="70"/>
    </row>
    <row r="222" spans="1:137" outlineLevel="1" x14ac:dyDescent="0.2">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c r="EB222" s="70"/>
      <c r="EC222" s="70"/>
      <c r="ED222" s="70"/>
      <c r="EE222" s="70"/>
      <c r="EF222" s="70"/>
      <c r="EG222" s="70"/>
    </row>
    <row r="223" spans="1:137" outlineLevel="1" x14ac:dyDescent="0.2">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row>
    <row r="224" spans="1:137" outlineLevel="1" x14ac:dyDescent="0.2">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c r="DX224" s="70"/>
      <c r="DY224" s="70"/>
      <c r="DZ224" s="70"/>
      <c r="EA224" s="70"/>
      <c r="EB224" s="70"/>
      <c r="EC224" s="70"/>
      <c r="ED224" s="70"/>
      <c r="EE224" s="70"/>
      <c r="EF224" s="70"/>
      <c r="EG224" s="70"/>
    </row>
    <row r="225" spans="36:137" outlineLevel="1" x14ac:dyDescent="0.2">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c r="EB225" s="70"/>
      <c r="EC225" s="70"/>
      <c r="ED225" s="70"/>
      <c r="EE225" s="70"/>
      <c r="EF225" s="70"/>
      <c r="EG225" s="70"/>
    </row>
    <row r="226" spans="36:137" outlineLevel="1" x14ac:dyDescent="0.2">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row>
    <row r="227" spans="36:137" outlineLevel="1" x14ac:dyDescent="0.2">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c r="EA227" s="70"/>
      <c r="EB227" s="70"/>
      <c r="EC227" s="70"/>
      <c r="ED227" s="70"/>
      <c r="EE227" s="70"/>
      <c r="EF227" s="70"/>
      <c r="EG227" s="70"/>
    </row>
    <row r="228" spans="36:137" outlineLevel="1" x14ac:dyDescent="0.2">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c r="DX228" s="70"/>
      <c r="DY228" s="70"/>
      <c r="DZ228" s="70"/>
      <c r="EA228" s="70"/>
      <c r="EB228" s="70"/>
      <c r="EC228" s="70"/>
      <c r="ED228" s="70"/>
      <c r="EE228" s="70"/>
      <c r="EF228" s="70"/>
      <c r="EG228" s="70"/>
    </row>
    <row r="229" spans="36:137" outlineLevel="1" x14ac:dyDescent="0.2">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c r="EB229" s="70"/>
      <c r="EC229" s="70"/>
      <c r="ED229" s="70"/>
      <c r="EE229" s="70"/>
      <c r="EF229" s="70"/>
      <c r="EG229" s="70"/>
    </row>
    <row r="230" spans="36:137" outlineLevel="1" x14ac:dyDescent="0.2">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row>
    <row r="231" spans="36:137" outlineLevel="1" x14ac:dyDescent="0.2">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row>
    <row r="232" spans="36:137" outlineLevel="1" x14ac:dyDescent="0.2">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c r="EB232" s="70"/>
      <c r="EC232" s="70"/>
      <c r="ED232" s="70"/>
      <c r="EE232" s="70"/>
      <c r="EF232" s="70"/>
      <c r="EG232" s="70"/>
    </row>
    <row r="233" spans="36:137" outlineLevel="1" x14ac:dyDescent="0.2">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row>
    <row r="234" spans="36:137" outlineLevel="1" x14ac:dyDescent="0.2">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row>
    <row r="235" spans="36:137" outlineLevel="1" x14ac:dyDescent="0.2">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row>
    <row r="236" spans="36:137" outlineLevel="1" x14ac:dyDescent="0.2">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row>
    <row r="237" spans="36:137" outlineLevel="1" x14ac:dyDescent="0.2">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row>
    <row r="238" spans="36:137" outlineLevel="1" x14ac:dyDescent="0.2">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c r="DX238" s="70"/>
      <c r="DY238" s="70"/>
      <c r="DZ238" s="70"/>
      <c r="EA238" s="70"/>
      <c r="EB238" s="70"/>
      <c r="EC238" s="70"/>
      <c r="ED238" s="70"/>
      <c r="EE238" s="70"/>
      <c r="EF238" s="70"/>
      <c r="EG238" s="70"/>
    </row>
    <row r="239" spans="36:137" outlineLevel="1" x14ac:dyDescent="0.2">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c r="EB239" s="70"/>
      <c r="EC239" s="70"/>
      <c r="ED239" s="70"/>
      <c r="EE239" s="70"/>
      <c r="EF239" s="70"/>
      <c r="EG239" s="70"/>
    </row>
    <row r="240" spans="36:137" outlineLevel="1" x14ac:dyDescent="0.2">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row>
    <row r="241" spans="1:137" outlineLevel="1" x14ac:dyDescent="0.2">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c r="EB241" s="70"/>
      <c r="EC241" s="70"/>
      <c r="ED241" s="70"/>
      <c r="EE241" s="70"/>
      <c r="EF241" s="70"/>
      <c r="EG241" s="70"/>
    </row>
    <row r="242" spans="1:137" x14ac:dyDescent="0.2">
      <c r="A242" s="86"/>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c r="DX242" s="70"/>
      <c r="DY242" s="70"/>
      <c r="DZ242" s="70"/>
      <c r="EA242" s="70"/>
      <c r="EB242" s="70"/>
      <c r="EC242" s="70"/>
      <c r="ED242" s="70"/>
      <c r="EE242" s="70"/>
      <c r="EF242" s="70"/>
      <c r="EG242" s="70"/>
    </row>
    <row r="243" spans="1:137" x14ac:dyDescent="0.2">
      <c r="A243" s="12" t="s">
        <v>88</v>
      </c>
      <c r="AJ243" s="70" t="s">
        <v>122</v>
      </c>
      <c r="AK243" s="70"/>
      <c r="AL243" s="70"/>
      <c r="AM243" s="70">
        <v>10</v>
      </c>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row>
    <row r="244" spans="1:137" outlineLevel="1" x14ac:dyDescent="0.2">
      <c r="E244" s="28" t="s">
        <v>121</v>
      </c>
      <c r="F244" s="69">
        <f>$AM$243/20</f>
        <v>0.5</v>
      </c>
      <c r="AJ244" s="70" t="s">
        <v>102</v>
      </c>
      <c r="AK244" s="70">
        <v>0</v>
      </c>
      <c r="AL244" s="70">
        <v>0.01</v>
      </c>
      <c r="AM244" s="70">
        <v>0.02</v>
      </c>
      <c r="AN244" s="70">
        <v>0.03</v>
      </c>
      <c r="AO244" s="70">
        <v>0.04</v>
      </c>
      <c r="AP244" s="70">
        <v>0.05</v>
      </c>
      <c r="AQ244" s="70">
        <v>6.0000000000000005E-2</v>
      </c>
      <c r="AR244" s="70">
        <v>7.0000000000000007E-2</v>
      </c>
      <c r="AS244" s="70">
        <v>0.08</v>
      </c>
      <c r="AT244" s="70">
        <v>0.09</v>
      </c>
      <c r="AU244" s="70">
        <v>9.9999999999999992E-2</v>
      </c>
      <c r="AV244" s="70">
        <v>0.10999999999999999</v>
      </c>
      <c r="AW244" s="70">
        <v>0.11999999999999998</v>
      </c>
      <c r="AX244" s="70">
        <v>0.12999999999999998</v>
      </c>
      <c r="AY244" s="70">
        <v>0.13999999999999999</v>
      </c>
      <c r="AZ244" s="70">
        <v>0.15</v>
      </c>
      <c r="BA244" s="70">
        <v>0.16</v>
      </c>
      <c r="BB244" s="70">
        <v>0.17</v>
      </c>
      <c r="BC244" s="70">
        <v>0.18000000000000002</v>
      </c>
      <c r="BD244" s="70">
        <v>0.19000000000000003</v>
      </c>
      <c r="BE244" s="70">
        <v>0.20000000000000004</v>
      </c>
      <c r="BF244" s="70">
        <v>0.21000000000000005</v>
      </c>
      <c r="BG244" s="70">
        <v>0.22000000000000006</v>
      </c>
      <c r="BH244" s="70">
        <v>0.23000000000000007</v>
      </c>
      <c r="BI244" s="70">
        <v>0.24000000000000007</v>
      </c>
      <c r="BJ244" s="70">
        <v>0.25000000000000006</v>
      </c>
      <c r="BK244" s="70">
        <v>0.26000000000000006</v>
      </c>
      <c r="BL244" s="70">
        <v>0.27000000000000007</v>
      </c>
      <c r="BM244" s="70">
        <v>0.28000000000000008</v>
      </c>
      <c r="BN244" s="70">
        <v>0.29000000000000009</v>
      </c>
      <c r="BO244" s="70">
        <v>0.3000000000000001</v>
      </c>
      <c r="BP244" s="70">
        <v>0.31000000000000011</v>
      </c>
      <c r="BQ244" s="70">
        <v>0.32000000000000012</v>
      </c>
      <c r="BR244" s="70">
        <v>0.33000000000000013</v>
      </c>
      <c r="BS244" s="70">
        <v>0.34000000000000014</v>
      </c>
      <c r="BT244" s="70">
        <v>0.35000000000000014</v>
      </c>
      <c r="BU244" s="70">
        <v>0.36000000000000015</v>
      </c>
      <c r="BV244" s="70">
        <v>0.37000000000000016</v>
      </c>
      <c r="BW244" s="70">
        <v>0.38000000000000017</v>
      </c>
      <c r="BX244" s="70">
        <v>0.39000000000000018</v>
      </c>
      <c r="BY244" s="70">
        <v>0.40000000000000019</v>
      </c>
      <c r="BZ244" s="70">
        <v>0.4100000000000002</v>
      </c>
      <c r="CA244" s="70">
        <v>0.42000000000000021</v>
      </c>
      <c r="CB244" s="70">
        <v>0.43000000000000022</v>
      </c>
      <c r="CC244" s="70">
        <v>0.44000000000000022</v>
      </c>
      <c r="CD244" s="70">
        <v>0.45000000000000023</v>
      </c>
      <c r="CE244" s="70">
        <v>0.46000000000000024</v>
      </c>
      <c r="CF244" s="70">
        <v>0.47000000000000025</v>
      </c>
      <c r="CG244" s="70">
        <v>0.48000000000000026</v>
      </c>
      <c r="CH244" s="70">
        <v>0.49000000000000027</v>
      </c>
      <c r="CI244" s="70">
        <v>0.50000000000000022</v>
      </c>
      <c r="CJ244" s="70">
        <v>0.51000000000000023</v>
      </c>
      <c r="CK244" s="70">
        <v>0.52000000000000024</v>
      </c>
      <c r="CL244" s="70">
        <v>0.53000000000000025</v>
      </c>
      <c r="CM244" s="70">
        <v>0.54000000000000026</v>
      </c>
      <c r="CN244" s="70">
        <v>0.55000000000000027</v>
      </c>
      <c r="CO244" s="70">
        <v>0.56000000000000028</v>
      </c>
      <c r="CP244" s="70">
        <v>0.57000000000000028</v>
      </c>
      <c r="CQ244" s="70">
        <v>0.58000000000000029</v>
      </c>
      <c r="CR244" s="70">
        <v>0.5900000000000003</v>
      </c>
      <c r="CS244" s="70">
        <v>0.60000000000000031</v>
      </c>
      <c r="CT244" s="70">
        <v>0.61000000000000032</v>
      </c>
      <c r="CU244" s="70">
        <v>0.62000000000000033</v>
      </c>
      <c r="CV244" s="70">
        <v>0.63000000000000034</v>
      </c>
      <c r="CW244" s="70">
        <v>0.64000000000000035</v>
      </c>
      <c r="CX244" s="70">
        <v>0.65000000000000036</v>
      </c>
      <c r="CY244" s="70">
        <v>0.66000000000000036</v>
      </c>
      <c r="CZ244" s="70">
        <v>0.67000000000000037</v>
      </c>
      <c r="DA244" s="70">
        <v>0.68000000000000038</v>
      </c>
      <c r="DB244" s="70">
        <v>0.69000000000000039</v>
      </c>
      <c r="DC244" s="70">
        <v>0.7000000000000004</v>
      </c>
      <c r="DD244" s="70">
        <v>0.71000000000000041</v>
      </c>
      <c r="DE244" s="70">
        <v>0.72000000000000042</v>
      </c>
      <c r="DF244" s="70">
        <v>0.73000000000000043</v>
      </c>
      <c r="DG244" s="70">
        <v>0.74000000000000044</v>
      </c>
      <c r="DH244" s="70">
        <v>0.75000000000000044</v>
      </c>
      <c r="DI244" s="70">
        <v>0.76000000000000045</v>
      </c>
      <c r="DJ244" s="70">
        <v>0.77000000000000046</v>
      </c>
      <c r="DK244" s="70">
        <v>0.78000000000000047</v>
      </c>
      <c r="DL244" s="70">
        <v>0.79000000000000048</v>
      </c>
      <c r="DM244" s="70">
        <v>0.80000000000000049</v>
      </c>
      <c r="DN244" s="70">
        <v>0.8100000000000005</v>
      </c>
      <c r="DO244" s="70">
        <v>0.82000000000000051</v>
      </c>
      <c r="DP244" s="70">
        <v>0.83000000000000052</v>
      </c>
      <c r="DQ244" s="70">
        <v>0.84000000000000052</v>
      </c>
      <c r="DR244" s="70">
        <v>0.85000000000000053</v>
      </c>
      <c r="DS244" s="70">
        <v>0.86000000000000054</v>
      </c>
      <c r="DT244" s="70">
        <v>0.87000000000000055</v>
      </c>
      <c r="DU244" s="70">
        <v>0.88000000000000056</v>
      </c>
      <c r="DV244" s="70">
        <v>0.89000000000000057</v>
      </c>
      <c r="DW244" s="70">
        <v>0.90000000000000058</v>
      </c>
      <c r="DX244" s="70">
        <v>0.91000000000000059</v>
      </c>
      <c r="DY244" s="70">
        <v>0.9200000000000006</v>
      </c>
      <c r="DZ244" s="70">
        <v>0.9300000000000006</v>
      </c>
      <c r="EA244" s="70">
        <v>0.94000000000000061</v>
      </c>
      <c r="EB244" s="70">
        <v>0.95000000000000062</v>
      </c>
      <c r="EC244" s="70">
        <v>0.96000000000000063</v>
      </c>
      <c r="ED244" s="70">
        <v>0.97000000000000064</v>
      </c>
      <c r="EE244" s="70">
        <v>0.98000000000000065</v>
      </c>
      <c r="EF244" s="70">
        <v>0.99000000000000066</v>
      </c>
      <c r="EG244" s="70">
        <v>1.0000000000000007</v>
      </c>
    </row>
    <row r="245" spans="1:137" outlineLevel="1" x14ac:dyDescent="0.2">
      <c r="AJ245" s="70" t="s">
        <v>123</v>
      </c>
      <c r="AK245" s="70">
        <v>1</v>
      </c>
      <c r="AL245" s="70">
        <v>1</v>
      </c>
      <c r="AM245" s="70">
        <v>1</v>
      </c>
      <c r="AN245" s="70">
        <v>1</v>
      </c>
      <c r="AO245" s="70">
        <v>1</v>
      </c>
      <c r="AP245" s="70">
        <v>1</v>
      </c>
      <c r="AQ245" s="70">
        <v>1</v>
      </c>
      <c r="AR245" s="70">
        <v>1</v>
      </c>
      <c r="AS245" s="70">
        <v>1</v>
      </c>
      <c r="AT245" s="70">
        <v>1</v>
      </c>
      <c r="AU245" s="70">
        <v>0.99591836734693873</v>
      </c>
      <c r="AV245" s="70">
        <v>0.99183673469387756</v>
      </c>
      <c r="AW245" s="70">
        <v>0.98775510204081629</v>
      </c>
      <c r="AX245" s="70">
        <v>0.98367346938775513</v>
      </c>
      <c r="AY245" s="70">
        <v>0.97959183673469385</v>
      </c>
      <c r="AZ245" s="70">
        <v>0.97959183673469385</v>
      </c>
      <c r="BA245" s="70">
        <v>0.97551020408163258</v>
      </c>
      <c r="BB245" s="70">
        <v>0.97142857142857142</v>
      </c>
      <c r="BC245" s="70">
        <v>0.96326530612244898</v>
      </c>
      <c r="BD245" s="70">
        <v>0.95510204081632644</v>
      </c>
      <c r="BE245" s="70">
        <v>0.946938775510204</v>
      </c>
      <c r="BF245" s="70">
        <v>0.94285714285714295</v>
      </c>
      <c r="BG245" s="70">
        <v>0.93877551020408168</v>
      </c>
      <c r="BH245" s="70">
        <v>0.93877551020408168</v>
      </c>
      <c r="BI245" s="70">
        <v>0.93877551020408168</v>
      </c>
      <c r="BJ245" s="70">
        <v>0.9346938775510204</v>
      </c>
      <c r="BK245" s="70">
        <v>0.93061224489795924</v>
      </c>
      <c r="BL245" s="70">
        <v>0.92653061224489797</v>
      </c>
      <c r="BM245" s="70">
        <v>0.91836734693877553</v>
      </c>
      <c r="BN245" s="70">
        <v>0.91020408163265309</v>
      </c>
      <c r="BO245" s="70">
        <v>0.90612244897959182</v>
      </c>
      <c r="BP245" s="70">
        <v>0.90204081632653066</v>
      </c>
      <c r="BQ245" s="70">
        <v>0.89795918367346939</v>
      </c>
      <c r="BR245" s="70">
        <v>0.89795918367346939</v>
      </c>
      <c r="BS245" s="70">
        <v>0.89795918367346939</v>
      </c>
      <c r="BT245" s="70">
        <v>0.88979591836734695</v>
      </c>
      <c r="BU245" s="70">
        <v>0.88163265306122451</v>
      </c>
      <c r="BV245" s="70">
        <v>0.8693877551020408</v>
      </c>
      <c r="BW245" s="70">
        <v>0.84897959183673477</v>
      </c>
      <c r="BX245" s="70">
        <v>0.82857142857142863</v>
      </c>
      <c r="BY245" s="70">
        <v>0.81632653061224492</v>
      </c>
      <c r="BZ245" s="70">
        <v>0.80408163265306121</v>
      </c>
      <c r="CA245" s="70">
        <v>0.7918367346938775</v>
      </c>
      <c r="CB245" s="70">
        <v>0.78775510204081634</v>
      </c>
      <c r="CC245" s="70">
        <v>0.78367346938775506</v>
      </c>
      <c r="CD245" s="70">
        <v>0.7795918367346939</v>
      </c>
      <c r="CE245" s="70">
        <v>0.77142857142857135</v>
      </c>
      <c r="CF245" s="70">
        <v>0.76734693877551019</v>
      </c>
      <c r="CG245" s="70">
        <v>0.75918367346938787</v>
      </c>
      <c r="CH245" s="70">
        <v>0.75102040816326521</v>
      </c>
      <c r="CI245" s="70">
        <v>0.74285714285714288</v>
      </c>
      <c r="CJ245" s="70">
        <v>0.73877551020408172</v>
      </c>
      <c r="CK245" s="70">
        <v>0.73469387755102045</v>
      </c>
      <c r="CL245" s="70">
        <v>0.73061224489795917</v>
      </c>
      <c r="CM245" s="70">
        <v>0.72653061224489801</v>
      </c>
      <c r="CN245" s="70">
        <v>0.72244897959183674</v>
      </c>
      <c r="CO245" s="70">
        <v>0.71836734693877558</v>
      </c>
      <c r="CP245" s="70">
        <v>0.71020408163265303</v>
      </c>
      <c r="CQ245" s="70">
        <v>0.70612244897959187</v>
      </c>
      <c r="CR245" s="70">
        <v>0.70204081632653059</v>
      </c>
      <c r="CS245" s="70">
        <v>0.69795918367346943</v>
      </c>
      <c r="CT245" s="70">
        <v>0.69387755102040816</v>
      </c>
      <c r="CU245" s="70">
        <v>0.68979591836734688</v>
      </c>
      <c r="CV245" s="70">
        <v>0.68571428571428572</v>
      </c>
      <c r="CW245" s="70">
        <v>0.68163265306122445</v>
      </c>
      <c r="CX245" s="70">
        <v>0.67755102040816328</v>
      </c>
      <c r="CY245" s="70">
        <v>0.66938775510204074</v>
      </c>
      <c r="CZ245" s="70">
        <v>0.66530612244897958</v>
      </c>
      <c r="DA245" s="70">
        <v>0.6612244897959183</v>
      </c>
      <c r="DB245" s="70">
        <v>0.65306122448979587</v>
      </c>
      <c r="DC245" s="70">
        <v>0.64081632653061227</v>
      </c>
      <c r="DD245" s="70">
        <v>0.63265306122448983</v>
      </c>
      <c r="DE245" s="70">
        <v>0.62040816326530612</v>
      </c>
      <c r="DF245" s="70">
        <v>0.60408163265306125</v>
      </c>
      <c r="DG245" s="70">
        <v>0.59183673469387754</v>
      </c>
      <c r="DH245" s="70">
        <v>0.58367346938775511</v>
      </c>
      <c r="DI245" s="70">
        <v>0.57551020408163267</v>
      </c>
      <c r="DJ245" s="70">
        <v>0.5714285714285714</v>
      </c>
      <c r="DK245" s="70">
        <v>0.5714285714285714</v>
      </c>
      <c r="DL245" s="70">
        <v>0.5714285714285714</v>
      </c>
      <c r="DM245" s="70">
        <v>0.56734693877551023</v>
      </c>
      <c r="DN245" s="70">
        <v>0.55510204081632653</v>
      </c>
      <c r="DO245" s="70">
        <v>0.53469387755102038</v>
      </c>
      <c r="DP245" s="70">
        <v>0.51020408163265307</v>
      </c>
      <c r="DQ245" s="70">
        <v>0.48163265306122449</v>
      </c>
      <c r="DR245" s="70">
        <v>0.44897959183673469</v>
      </c>
      <c r="DS245" s="70">
        <v>0.42040816326530617</v>
      </c>
      <c r="DT245" s="70">
        <v>0.39591836734693875</v>
      </c>
      <c r="DU245" s="70">
        <v>0.3755102040816326</v>
      </c>
      <c r="DV245" s="70">
        <v>0.35918367346938779</v>
      </c>
      <c r="DW245" s="70">
        <v>0.34285714285714286</v>
      </c>
      <c r="DX245" s="70">
        <v>0.32653061224489793</v>
      </c>
      <c r="DY245" s="70">
        <v>0.30612244897959184</v>
      </c>
      <c r="DZ245" s="70">
        <v>0.2857142857142857</v>
      </c>
      <c r="EA245" s="70">
        <v>0.26122448979591839</v>
      </c>
      <c r="EB245" s="70">
        <v>0.22448979591836735</v>
      </c>
      <c r="EC245" s="70">
        <v>0.1877551020408163</v>
      </c>
      <c r="ED245" s="70">
        <v>0.14285714285714285</v>
      </c>
      <c r="EE245" s="70">
        <v>9.3877551020408151E-2</v>
      </c>
      <c r="EF245" s="70">
        <v>2.0408163265306121E-2</v>
      </c>
      <c r="EG245" s="70">
        <v>0</v>
      </c>
    </row>
    <row r="246" spans="1:137" outlineLevel="1" x14ac:dyDescent="0.2">
      <c r="AJ246" s="70" t="s">
        <v>124</v>
      </c>
      <c r="AK246" s="70">
        <v>0</v>
      </c>
      <c r="AL246" s="70">
        <v>0</v>
      </c>
      <c r="AM246" s="70">
        <v>8.6274509803921581E-2</v>
      </c>
      <c r="AN246" s="70">
        <v>0.12156862745098039</v>
      </c>
      <c r="AO246" s="70">
        <v>0.16078431372549018</v>
      </c>
      <c r="AP246" s="70">
        <v>0.18823529411764706</v>
      </c>
      <c r="AQ246" s="70">
        <v>0.21176470588235297</v>
      </c>
      <c r="AR246" s="70">
        <v>0.24313725490196078</v>
      </c>
      <c r="AS246" s="70">
        <v>0.28235294117647058</v>
      </c>
      <c r="AT246" s="70">
        <v>0.31764705882352939</v>
      </c>
      <c r="AU246" s="70">
        <v>0.34901960784313729</v>
      </c>
      <c r="AV246" s="70">
        <v>0.37254901960784315</v>
      </c>
      <c r="AW246" s="70">
        <v>0.39215686274509803</v>
      </c>
      <c r="AX246" s="70">
        <v>0.41176470588235292</v>
      </c>
      <c r="AY246" s="70">
        <v>0.43137254901960786</v>
      </c>
      <c r="AZ246" s="70">
        <v>0.45098039215686275</v>
      </c>
      <c r="BA246" s="70">
        <v>0.47058823529411764</v>
      </c>
      <c r="BB246" s="70">
        <v>0.4823529411764706</v>
      </c>
      <c r="BC246" s="70">
        <v>0.48627450980392156</v>
      </c>
      <c r="BD246" s="70">
        <v>0.49803921568627446</v>
      </c>
      <c r="BE246" s="70">
        <v>0.50588235294117645</v>
      </c>
      <c r="BF246" s="70">
        <v>0.52156862745098043</v>
      </c>
      <c r="BG246" s="70">
        <v>0.53725490196078429</v>
      </c>
      <c r="BH246" s="70">
        <v>0.55686274509803924</v>
      </c>
      <c r="BI246" s="70">
        <v>0.5725490196078431</v>
      </c>
      <c r="BJ246" s="70">
        <v>0.59607843137254901</v>
      </c>
      <c r="BK246" s="70">
        <v>0.61176470588235288</v>
      </c>
      <c r="BL246" s="70">
        <v>0.63137254901960793</v>
      </c>
      <c r="BM246" s="70">
        <v>0.65098039215686276</v>
      </c>
      <c r="BN246" s="70">
        <v>0.66666666666666663</v>
      </c>
      <c r="BO246" s="70">
        <v>0.67450980392156856</v>
      </c>
      <c r="BP246" s="70">
        <v>0.6823529411764705</v>
      </c>
      <c r="BQ246" s="70">
        <v>0.69019607843137265</v>
      </c>
      <c r="BR246" s="70">
        <v>0.69411764705882351</v>
      </c>
      <c r="BS246" s="70">
        <v>0.69803921568627458</v>
      </c>
      <c r="BT246" s="70">
        <v>0.70196078431372544</v>
      </c>
      <c r="BU246" s="70">
        <v>0.70588235294117652</v>
      </c>
      <c r="BV246" s="70">
        <v>0.70588235294117652</v>
      </c>
      <c r="BW246" s="70">
        <v>0.70588235294117652</v>
      </c>
      <c r="BX246" s="70">
        <v>0.71372549019607845</v>
      </c>
      <c r="BY246" s="70">
        <v>0.72156862745098038</v>
      </c>
      <c r="BZ246" s="70">
        <v>0.73333333333333328</v>
      </c>
      <c r="CA246" s="70">
        <v>0.74901960784313726</v>
      </c>
      <c r="CB246" s="70">
        <v>0.76470588235294112</v>
      </c>
      <c r="CC246" s="70">
        <v>0.77254901960784306</v>
      </c>
      <c r="CD246" s="70">
        <v>0.78039215686274499</v>
      </c>
      <c r="CE246" s="70">
        <v>0.78431372549019607</v>
      </c>
      <c r="CF246" s="70">
        <v>0.78823529411764715</v>
      </c>
      <c r="CG246" s="70">
        <v>0.792156862745098</v>
      </c>
      <c r="CH246" s="70">
        <v>0.79607843137254908</v>
      </c>
      <c r="CI246" s="70">
        <v>0.80392156862745101</v>
      </c>
      <c r="CJ246" s="70">
        <v>0.81568627450980391</v>
      </c>
      <c r="CK246" s="70">
        <v>0.82352941176470584</v>
      </c>
      <c r="CL246" s="70">
        <v>0.83137254901960778</v>
      </c>
      <c r="CM246" s="70">
        <v>0.83921568627450971</v>
      </c>
      <c r="CN246" s="70">
        <v>0.84313725490196079</v>
      </c>
      <c r="CO246" s="70">
        <v>0.84705882352941186</v>
      </c>
      <c r="CP246" s="70">
        <v>0.85098039215686272</v>
      </c>
      <c r="CQ246" s="70">
        <v>0.8549019607843138</v>
      </c>
      <c r="CR246" s="70">
        <v>0.85882352941176465</v>
      </c>
      <c r="CS246" s="70">
        <v>0.86274509803921573</v>
      </c>
      <c r="CT246" s="70">
        <v>0.86274509803921573</v>
      </c>
      <c r="CU246" s="70">
        <v>0.86274509803921573</v>
      </c>
      <c r="CV246" s="70">
        <v>0.86274509803921573</v>
      </c>
      <c r="CW246" s="70">
        <v>0.86274509803921573</v>
      </c>
      <c r="CX246" s="70">
        <v>0.86274509803921573</v>
      </c>
      <c r="CY246" s="70">
        <v>0.87058823529411766</v>
      </c>
      <c r="CZ246" s="70">
        <v>0.8784313725490196</v>
      </c>
      <c r="DA246" s="70">
        <v>0.8901960784313725</v>
      </c>
      <c r="DB246" s="70">
        <v>0.90196078431372551</v>
      </c>
      <c r="DC246" s="70">
        <v>0.9137254901960784</v>
      </c>
      <c r="DD246" s="70">
        <v>0.92156862745098034</v>
      </c>
      <c r="DE246" s="70">
        <v>0.92941176470588227</v>
      </c>
      <c r="DF246" s="70">
        <v>0.93333333333333335</v>
      </c>
      <c r="DG246" s="70">
        <v>0.9372549019607842</v>
      </c>
      <c r="DH246" s="70">
        <v>0.94117647058823528</v>
      </c>
      <c r="DI246" s="70">
        <v>0.94117647058823528</v>
      </c>
      <c r="DJ246" s="70">
        <v>0.94117647058823528</v>
      </c>
      <c r="DK246" s="70">
        <v>0.94509803921568636</v>
      </c>
      <c r="DL246" s="70">
        <v>0.94901960784313721</v>
      </c>
      <c r="DM246" s="70">
        <v>0.95294117647058829</v>
      </c>
      <c r="DN246" s="70">
        <v>0.95686274509803915</v>
      </c>
      <c r="DO246" s="70">
        <v>0.96470588235294119</v>
      </c>
      <c r="DP246" s="70">
        <v>0.96862745098039216</v>
      </c>
      <c r="DQ246" s="70">
        <v>0.97254901960784312</v>
      </c>
      <c r="DR246" s="70">
        <v>0.97647058823529409</v>
      </c>
      <c r="DS246" s="70">
        <v>0.98039215686274506</v>
      </c>
      <c r="DT246" s="70">
        <v>0.98039215686274506</v>
      </c>
      <c r="DU246" s="70">
        <v>0.98039215686274506</v>
      </c>
      <c r="DV246" s="70">
        <v>0.98039215686274506</v>
      </c>
      <c r="DW246" s="70">
        <v>0.98431372549019613</v>
      </c>
      <c r="DX246" s="70">
        <v>0.98823529411764699</v>
      </c>
      <c r="DY246" s="70">
        <v>0.99215686274509807</v>
      </c>
      <c r="DZ246" s="70">
        <v>0.99607843137254892</v>
      </c>
      <c r="EA246" s="70">
        <v>1</v>
      </c>
      <c r="EB246" s="70">
        <v>1</v>
      </c>
      <c r="EC246" s="70">
        <v>1</v>
      </c>
      <c r="ED246" s="70">
        <v>1</v>
      </c>
      <c r="EE246" s="70">
        <v>1</v>
      </c>
      <c r="EF246" s="70">
        <v>1</v>
      </c>
      <c r="EG246" s="70">
        <v>1</v>
      </c>
    </row>
    <row r="247" spans="1:137" outlineLevel="1" x14ac:dyDescent="0.2">
      <c r="AJ247" s="70" t="str">
        <f xml:space="preserve"> TEXT($F$244,"0%") &amp; " Wtd.Avg."</f>
        <v>50% Wtd.Avg.</v>
      </c>
      <c r="AK247" s="70">
        <f>$F$244*AK245+(1-$F$244)*AK246</f>
        <v>0.5</v>
      </c>
      <c r="AL247" s="70">
        <f>$F$244*AL245+(1-$F$244)*AL246</f>
        <v>0.5</v>
      </c>
      <c r="AM247" s="70">
        <f>$F$244*AM245+(1-$F$244)*AM246</f>
        <v>0.54313725490196074</v>
      </c>
      <c r="AN247" s="70">
        <f t="shared" ref="AN247:CY247" si="36">$F$244*AN245+(1-$F$244)*AN246</f>
        <v>0.5607843137254902</v>
      </c>
      <c r="AO247" s="70">
        <f t="shared" si="36"/>
        <v>0.58039215686274503</v>
      </c>
      <c r="AP247" s="70">
        <f t="shared" si="36"/>
        <v>0.59411764705882353</v>
      </c>
      <c r="AQ247" s="70">
        <f t="shared" si="36"/>
        <v>0.60588235294117654</v>
      </c>
      <c r="AR247" s="70">
        <f t="shared" si="36"/>
        <v>0.6215686274509804</v>
      </c>
      <c r="AS247" s="70">
        <f t="shared" si="36"/>
        <v>0.64117647058823524</v>
      </c>
      <c r="AT247" s="70">
        <f t="shared" si="36"/>
        <v>0.6588235294117647</v>
      </c>
      <c r="AU247" s="70">
        <f t="shared" si="36"/>
        <v>0.67246898759503804</v>
      </c>
      <c r="AV247" s="70">
        <f t="shared" si="36"/>
        <v>0.6821928771508603</v>
      </c>
      <c r="AW247" s="70">
        <f t="shared" si="36"/>
        <v>0.68995598239295719</v>
      </c>
      <c r="AX247" s="70">
        <f t="shared" si="36"/>
        <v>0.69771908763505408</v>
      </c>
      <c r="AY247" s="70">
        <f t="shared" si="36"/>
        <v>0.70548219287715086</v>
      </c>
      <c r="AZ247" s="70">
        <f t="shared" si="36"/>
        <v>0.71528611444577828</v>
      </c>
      <c r="BA247" s="70">
        <f t="shared" si="36"/>
        <v>0.72304921968787506</v>
      </c>
      <c r="BB247" s="70">
        <f t="shared" si="36"/>
        <v>0.72689075630252098</v>
      </c>
      <c r="BC247" s="70">
        <f t="shared" si="36"/>
        <v>0.7247699079631853</v>
      </c>
      <c r="BD247" s="70">
        <f t="shared" si="36"/>
        <v>0.72657062825130048</v>
      </c>
      <c r="BE247" s="70">
        <f t="shared" si="36"/>
        <v>0.72641056422569017</v>
      </c>
      <c r="BF247" s="70">
        <f t="shared" si="36"/>
        <v>0.73221288515406169</v>
      </c>
      <c r="BG247" s="70">
        <f t="shared" si="36"/>
        <v>0.73801520608243298</v>
      </c>
      <c r="BH247" s="70">
        <f t="shared" si="36"/>
        <v>0.7478191276510604</v>
      </c>
      <c r="BI247" s="70">
        <f t="shared" si="36"/>
        <v>0.75566226490596233</v>
      </c>
      <c r="BJ247" s="70">
        <f t="shared" si="36"/>
        <v>0.76538615446178471</v>
      </c>
      <c r="BK247" s="70">
        <f t="shared" si="36"/>
        <v>0.77118847539015611</v>
      </c>
      <c r="BL247" s="70">
        <f t="shared" si="36"/>
        <v>0.77895158063225289</v>
      </c>
      <c r="BM247" s="70">
        <f t="shared" si="36"/>
        <v>0.78467386954781915</v>
      </c>
      <c r="BN247" s="70">
        <f t="shared" si="36"/>
        <v>0.78843537414965992</v>
      </c>
      <c r="BO247" s="70">
        <f t="shared" si="36"/>
        <v>0.79031612645058025</v>
      </c>
      <c r="BP247" s="70">
        <f t="shared" si="36"/>
        <v>0.79219687875150058</v>
      </c>
      <c r="BQ247" s="70">
        <f t="shared" si="36"/>
        <v>0.79407763105242102</v>
      </c>
      <c r="BR247" s="70">
        <f t="shared" si="36"/>
        <v>0.79603841536614639</v>
      </c>
      <c r="BS247" s="70">
        <f t="shared" si="36"/>
        <v>0.79799919967987198</v>
      </c>
      <c r="BT247" s="70">
        <f t="shared" si="36"/>
        <v>0.79587835134053619</v>
      </c>
      <c r="BU247" s="70">
        <f t="shared" si="36"/>
        <v>0.79375750300120052</v>
      </c>
      <c r="BV247" s="70">
        <f t="shared" si="36"/>
        <v>0.7876350540216086</v>
      </c>
      <c r="BW247" s="70">
        <f t="shared" si="36"/>
        <v>0.77743097238895564</v>
      </c>
      <c r="BX247" s="70">
        <f t="shared" si="36"/>
        <v>0.77114845938375354</v>
      </c>
      <c r="BY247" s="70">
        <f t="shared" si="36"/>
        <v>0.7689475790316127</v>
      </c>
      <c r="BZ247" s="70">
        <f t="shared" si="36"/>
        <v>0.76870748299319724</v>
      </c>
      <c r="CA247" s="70">
        <f t="shared" si="36"/>
        <v>0.77042817126850738</v>
      </c>
      <c r="CB247" s="70">
        <f t="shared" si="36"/>
        <v>0.77623049219687879</v>
      </c>
      <c r="CC247" s="70">
        <f t="shared" si="36"/>
        <v>0.77811124449779911</v>
      </c>
      <c r="CD247" s="70">
        <f t="shared" si="36"/>
        <v>0.77999199679871944</v>
      </c>
      <c r="CE247" s="70">
        <f t="shared" si="36"/>
        <v>0.77787114845938365</v>
      </c>
      <c r="CF247" s="70">
        <f t="shared" si="36"/>
        <v>0.77779111644657872</v>
      </c>
      <c r="CG247" s="70">
        <f t="shared" si="36"/>
        <v>0.77567026810724293</v>
      </c>
      <c r="CH247" s="70">
        <f t="shared" si="36"/>
        <v>0.77354941976790714</v>
      </c>
      <c r="CI247" s="70">
        <f t="shared" si="36"/>
        <v>0.77338935574229695</v>
      </c>
      <c r="CJ247" s="70">
        <f t="shared" si="36"/>
        <v>0.77723089235694287</v>
      </c>
      <c r="CK247" s="70">
        <f t="shared" si="36"/>
        <v>0.7791116446578632</v>
      </c>
      <c r="CL247" s="70">
        <f t="shared" si="36"/>
        <v>0.78099239695878353</v>
      </c>
      <c r="CM247" s="70">
        <f t="shared" si="36"/>
        <v>0.78287314925970386</v>
      </c>
      <c r="CN247" s="70">
        <f t="shared" si="36"/>
        <v>0.78279311724689871</v>
      </c>
      <c r="CO247" s="70">
        <f t="shared" si="36"/>
        <v>0.78271308523409378</v>
      </c>
      <c r="CP247" s="70">
        <f t="shared" si="36"/>
        <v>0.78059223689475787</v>
      </c>
      <c r="CQ247" s="70">
        <f t="shared" si="36"/>
        <v>0.78051220488195283</v>
      </c>
      <c r="CR247" s="70">
        <f t="shared" si="36"/>
        <v>0.78043217286914768</v>
      </c>
      <c r="CS247" s="70">
        <f t="shared" si="36"/>
        <v>0.78035214085634252</v>
      </c>
      <c r="CT247" s="70">
        <f t="shared" si="36"/>
        <v>0.77831132452981189</v>
      </c>
      <c r="CU247" s="70">
        <f t="shared" si="36"/>
        <v>0.77627050820328125</v>
      </c>
      <c r="CV247" s="70">
        <f t="shared" si="36"/>
        <v>0.77422969187675073</v>
      </c>
      <c r="CW247" s="70">
        <f t="shared" si="36"/>
        <v>0.77218887555022009</v>
      </c>
      <c r="CX247" s="70">
        <f t="shared" si="36"/>
        <v>0.77014805922368956</v>
      </c>
      <c r="CY247" s="70">
        <f t="shared" si="36"/>
        <v>0.76998799519807926</v>
      </c>
      <c r="CZ247" s="70">
        <f t="shared" ref="CZ247:EE247" si="37">$F$244*CZ245+(1-$F$244)*CZ246</f>
        <v>0.77186874749899959</v>
      </c>
      <c r="DA247" s="70">
        <f t="shared" si="37"/>
        <v>0.7757102841136454</v>
      </c>
      <c r="DB247" s="70">
        <f t="shared" si="37"/>
        <v>0.77751100440176069</v>
      </c>
      <c r="DC247" s="70">
        <f t="shared" si="37"/>
        <v>0.77727090836334534</v>
      </c>
      <c r="DD247" s="70">
        <f t="shared" si="37"/>
        <v>0.77711084433773503</v>
      </c>
      <c r="DE247" s="70">
        <f t="shared" si="37"/>
        <v>0.7749099639855942</v>
      </c>
      <c r="DF247" s="70">
        <f t="shared" si="37"/>
        <v>0.76870748299319724</v>
      </c>
      <c r="DG247" s="70">
        <f t="shared" si="37"/>
        <v>0.76454581832733082</v>
      </c>
      <c r="DH247" s="70">
        <f t="shared" si="37"/>
        <v>0.76242496998799525</v>
      </c>
      <c r="DI247" s="70">
        <f t="shared" si="37"/>
        <v>0.75834333733493398</v>
      </c>
      <c r="DJ247" s="70">
        <f t="shared" si="37"/>
        <v>0.75630252100840334</v>
      </c>
      <c r="DK247" s="70">
        <f t="shared" si="37"/>
        <v>0.75826330532212882</v>
      </c>
      <c r="DL247" s="70">
        <f t="shared" si="37"/>
        <v>0.76022408963585431</v>
      </c>
      <c r="DM247" s="70">
        <f t="shared" si="37"/>
        <v>0.76014405762304926</v>
      </c>
      <c r="DN247" s="70">
        <f t="shared" si="37"/>
        <v>0.75598239295718284</v>
      </c>
      <c r="DO247" s="70">
        <f t="shared" si="37"/>
        <v>0.74969987995198073</v>
      </c>
      <c r="DP247" s="70">
        <f t="shared" si="37"/>
        <v>0.73941576630652261</v>
      </c>
      <c r="DQ247" s="70">
        <f t="shared" si="37"/>
        <v>0.72709083633453386</v>
      </c>
      <c r="DR247" s="70">
        <f t="shared" si="37"/>
        <v>0.71272509003601436</v>
      </c>
      <c r="DS247" s="70">
        <f t="shared" si="37"/>
        <v>0.70040016006402561</v>
      </c>
      <c r="DT247" s="70">
        <f t="shared" si="37"/>
        <v>0.6881552621048419</v>
      </c>
      <c r="DU247" s="70">
        <f t="shared" si="37"/>
        <v>0.67795118047218883</v>
      </c>
      <c r="DV247" s="70">
        <f t="shared" si="37"/>
        <v>0.66978791516606639</v>
      </c>
      <c r="DW247" s="70">
        <f t="shared" si="37"/>
        <v>0.66358543417366955</v>
      </c>
      <c r="DX247" s="70">
        <f t="shared" si="37"/>
        <v>0.65738295318127249</v>
      </c>
      <c r="DY247" s="70">
        <f t="shared" si="37"/>
        <v>0.64913965586234501</v>
      </c>
      <c r="DZ247" s="70">
        <f t="shared" si="37"/>
        <v>0.64089635854341731</v>
      </c>
      <c r="EA247" s="70">
        <f t="shared" si="37"/>
        <v>0.6306122448979592</v>
      </c>
      <c r="EB247" s="70">
        <f t="shared" si="37"/>
        <v>0.61224489795918369</v>
      </c>
      <c r="EC247" s="70">
        <f t="shared" si="37"/>
        <v>0.59387755102040818</v>
      </c>
      <c r="ED247" s="70">
        <f t="shared" si="37"/>
        <v>0.5714285714285714</v>
      </c>
      <c r="EE247" s="70">
        <f t="shared" si="37"/>
        <v>0.54693877551020409</v>
      </c>
      <c r="EF247" s="70">
        <f>$F$244*EF245+(1-$F$244)*EF246</f>
        <v>0.51020408163265307</v>
      </c>
      <c r="EG247" s="70">
        <f>$F$244*EG245+(1-$F$244)*EG246</f>
        <v>0.5</v>
      </c>
    </row>
    <row r="248" spans="1:137" outlineLevel="1" x14ac:dyDescent="0.2">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row>
    <row r="249" spans="1:137" outlineLevel="1" x14ac:dyDescent="0.2">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row>
    <row r="250" spans="1:137" outlineLevel="1" x14ac:dyDescent="0.2">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row>
    <row r="251" spans="1:137" outlineLevel="1" x14ac:dyDescent="0.2">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row>
    <row r="252" spans="1:137" outlineLevel="1" x14ac:dyDescent="0.2">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row>
    <row r="253" spans="1:137" outlineLevel="1" x14ac:dyDescent="0.2">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c r="EB253" s="70"/>
      <c r="EC253" s="70"/>
      <c r="ED253" s="70"/>
      <c r="EE253" s="70"/>
      <c r="EF253" s="70"/>
      <c r="EG253" s="70"/>
    </row>
    <row r="254" spans="1:137" outlineLevel="1" x14ac:dyDescent="0.2">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c r="DX254" s="70"/>
      <c r="DY254" s="70"/>
      <c r="DZ254" s="70"/>
      <c r="EA254" s="70"/>
      <c r="EB254" s="70"/>
      <c r="EC254" s="70"/>
      <c r="ED254" s="70"/>
      <c r="EE254" s="70"/>
      <c r="EF254" s="70"/>
      <c r="EG254" s="70"/>
    </row>
    <row r="255" spans="1:137" outlineLevel="1" x14ac:dyDescent="0.2">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c r="DX255" s="70"/>
      <c r="DY255" s="70"/>
      <c r="DZ255" s="70"/>
      <c r="EA255" s="70"/>
      <c r="EB255" s="70"/>
      <c r="EC255" s="70"/>
      <c r="ED255" s="70"/>
      <c r="EE255" s="70"/>
      <c r="EF255" s="70"/>
      <c r="EG255" s="70"/>
    </row>
    <row r="256" spans="1:137" outlineLevel="1" x14ac:dyDescent="0.2">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c r="EB256" s="70"/>
      <c r="EC256" s="70"/>
      <c r="ED256" s="70"/>
      <c r="EE256" s="70"/>
      <c r="EF256" s="70"/>
      <c r="EG256" s="70"/>
    </row>
    <row r="257" spans="1:137" outlineLevel="1" x14ac:dyDescent="0.2">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c r="EB257" s="70"/>
      <c r="EC257" s="70"/>
      <c r="ED257" s="70"/>
      <c r="EE257" s="70"/>
      <c r="EF257" s="70"/>
      <c r="EG257" s="70"/>
    </row>
    <row r="258" spans="1:137" outlineLevel="1" x14ac:dyDescent="0.2">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c r="EB258" s="70"/>
      <c r="EC258" s="70"/>
      <c r="ED258" s="70"/>
      <c r="EE258" s="70"/>
      <c r="EF258" s="70"/>
      <c r="EG258" s="70"/>
    </row>
    <row r="259" spans="1:137" outlineLevel="1" x14ac:dyDescent="0.2">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c r="EB259" s="70"/>
      <c r="EC259" s="70"/>
      <c r="ED259" s="70"/>
      <c r="EE259" s="70"/>
      <c r="EF259" s="70"/>
      <c r="EG259" s="70"/>
    </row>
    <row r="260" spans="1:137" outlineLevel="1" x14ac:dyDescent="0.2">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c r="EB260" s="70"/>
      <c r="EC260" s="70"/>
      <c r="ED260" s="70"/>
      <c r="EE260" s="70"/>
      <c r="EF260" s="70"/>
      <c r="EG260" s="70"/>
    </row>
    <row r="261" spans="1:137" outlineLevel="1" x14ac:dyDescent="0.2">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c r="DX261" s="70"/>
      <c r="DY261" s="70"/>
      <c r="DZ261" s="70"/>
      <c r="EA261" s="70"/>
      <c r="EB261" s="70"/>
      <c r="EC261" s="70"/>
      <c r="ED261" s="70"/>
      <c r="EE261" s="70"/>
      <c r="EF261" s="70"/>
      <c r="EG261" s="70"/>
    </row>
    <row r="262" spans="1:137" outlineLevel="1" x14ac:dyDescent="0.2">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c r="DX262" s="70"/>
      <c r="DY262" s="70"/>
      <c r="DZ262" s="70"/>
      <c r="EA262" s="70"/>
      <c r="EB262" s="70"/>
      <c r="EC262" s="70"/>
      <c r="ED262" s="70"/>
      <c r="EE262" s="70"/>
      <c r="EF262" s="70"/>
      <c r="EG262" s="70"/>
    </row>
    <row r="263" spans="1:137" outlineLevel="1" x14ac:dyDescent="0.2">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c r="EB263" s="70"/>
      <c r="EC263" s="70"/>
      <c r="ED263" s="70"/>
      <c r="EE263" s="70"/>
      <c r="EF263" s="70"/>
      <c r="EG263" s="70"/>
    </row>
    <row r="264" spans="1:137" outlineLevel="1" x14ac:dyDescent="0.2">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row>
    <row r="265" spans="1:137" x14ac:dyDescent="0.2">
      <c r="A265" s="86"/>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row>
    <row r="266" spans="1:137" x14ac:dyDescent="0.2">
      <c r="A266" s="12" t="s">
        <v>89</v>
      </c>
      <c r="AJ266" s="70" t="s">
        <v>125</v>
      </c>
      <c r="AK266" s="70"/>
      <c r="AL266" s="70"/>
      <c r="AM266" s="70">
        <v>10</v>
      </c>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c r="DX266" s="70"/>
      <c r="DY266" s="70"/>
      <c r="DZ266" s="70"/>
      <c r="EA266" s="70"/>
      <c r="EB266" s="70"/>
      <c r="EC266" s="70"/>
      <c r="ED266" s="70"/>
      <c r="EE266" s="70"/>
      <c r="EF266" s="70"/>
      <c r="EG266" s="70"/>
    </row>
    <row r="267" spans="1:137" outlineLevel="1" x14ac:dyDescent="0.2">
      <c r="E267" s="28" t="s">
        <v>125</v>
      </c>
      <c r="F267" s="69">
        <f>$AM$266/20</f>
        <v>0.5</v>
      </c>
      <c r="AJ267" s="70" t="s">
        <v>102</v>
      </c>
      <c r="AK267" s="70">
        <v>0</v>
      </c>
      <c r="AL267" s="70">
        <v>0.01</v>
      </c>
      <c r="AM267" s="70">
        <v>0.02</v>
      </c>
      <c r="AN267" s="70">
        <v>0.03</v>
      </c>
      <c r="AO267" s="70">
        <v>0.04</v>
      </c>
      <c r="AP267" s="70">
        <v>0.05</v>
      </c>
      <c r="AQ267" s="70">
        <v>6.0000000000000005E-2</v>
      </c>
      <c r="AR267" s="70">
        <v>7.0000000000000007E-2</v>
      </c>
      <c r="AS267" s="70">
        <v>0.08</v>
      </c>
      <c r="AT267" s="70">
        <v>0.09</v>
      </c>
      <c r="AU267" s="70">
        <v>9.9999999999999992E-2</v>
      </c>
      <c r="AV267" s="70">
        <v>0.10999999999999999</v>
      </c>
      <c r="AW267" s="70">
        <v>0.11999999999999998</v>
      </c>
      <c r="AX267" s="70">
        <v>0.12999999999999998</v>
      </c>
      <c r="AY267" s="70">
        <v>0.13999999999999999</v>
      </c>
      <c r="AZ267" s="70">
        <v>0.15</v>
      </c>
      <c r="BA267" s="70">
        <v>0.16</v>
      </c>
      <c r="BB267" s="70">
        <v>0.17</v>
      </c>
      <c r="BC267" s="70">
        <v>0.18000000000000002</v>
      </c>
      <c r="BD267" s="70">
        <v>0.19000000000000003</v>
      </c>
      <c r="BE267" s="70">
        <v>0.20000000000000004</v>
      </c>
      <c r="BF267" s="70">
        <v>0.21000000000000005</v>
      </c>
      <c r="BG267" s="70">
        <v>0.22000000000000006</v>
      </c>
      <c r="BH267" s="70">
        <v>0.23000000000000007</v>
      </c>
      <c r="BI267" s="70">
        <v>0.24000000000000007</v>
      </c>
      <c r="BJ267" s="70">
        <v>0.25000000000000006</v>
      </c>
      <c r="BK267" s="70">
        <v>0.26000000000000006</v>
      </c>
      <c r="BL267" s="70">
        <v>0.27000000000000007</v>
      </c>
      <c r="BM267" s="70">
        <v>0.28000000000000008</v>
      </c>
      <c r="BN267" s="70">
        <v>0.29000000000000009</v>
      </c>
      <c r="BO267" s="70">
        <v>0.3000000000000001</v>
      </c>
      <c r="BP267" s="70">
        <v>0.31000000000000011</v>
      </c>
      <c r="BQ267" s="70">
        <v>0.32000000000000012</v>
      </c>
      <c r="BR267" s="70">
        <v>0.33000000000000013</v>
      </c>
      <c r="BS267" s="70">
        <v>0.34000000000000014</v>
      </c>
      <c r="BT267" s="70">
        <v>0.35000000000000014</v>
      </c>
      <c r="BU267" s="70">
        <v>0.36000000000000015</v>
      </c>
      <c r="BV267" s="70">
        <v>0.37000000000000016</v>
      </c>
      <c r="BW267" s="70">
        <v>0.38000000000000017</v>
      </c>
      <c r="BX267" s="70">
        <v>0.39000000000000018</v>
      </c>
      <c r="BY267" s="70">
        <v>0.40000000000000019</v>
      </c>
      <c r="BZ267" s="70">
        <v>0.4100000000000002</v>
      </c>
      <c r="CA267" s="70">
        <v>0.42000000000000021</v>
      </c>
      <c r="CB267" s="70">
        <v>0.43000000000000022</v>
      </c>
      <c r="CC267" s="70">
        <v>0.44000000000000022</v>
      </c>
      <c r="CD267" s="70">
        <v>0.45000000000000023</v>
      </c>
      <c r="CE267" s="70">
        <v>0.46000000000000024</v>
      </c>
      <c r="CF267" s="70">
        <v>0.47000000000000025</v>
      </c>
      <c r="CG267" s="70">
        <v>0.48000000000000026</v>
      </c>
      <c r="CH267" s="70">
        <v>0.49000000000000027</v>
      </c>
      <c r="CI267" s="70">
        <v>0.50000000000000022</v>
      </c>
      <c r="CJ267" s="70">
        <v>0.51000000000000023</v>
      </c>
      <c r="CK267" s="70">
        <v>0.52000000000000024</v>
      </c>
      <c r="CL267" s="70">
        <v>0.53000000000000025</v>
      </c>
      <c r="CM267" s="70">
        <v>0.54000000000000026</v>
      </c>
      <c r="CN267" s="70">
        <v>0.55000000000000027</v>
      </c>
      <c r="CO267" s="70">
        <v>0.56000000000000028</v>
      </c>
      <c r="CP267" s="70">
        <v>0.57000000000000028</v>
      </c>
      <c r="CQ267" s="70">
        <v>0.58000000000000029</v>
      </c>
      <c r="CR267" s="70">
        <v>0.5900000000000003</v>
      </c>
      <c r="CS267" s="70">
        <v>0.60000000000000031</v>
      </c>
      <c r="CT267" s="70">
        <v>0.61000000000000032</v>
      </c>
      <c r="CU267" s="70">
        <v>0.62000000000000033</v>
      </c>
      <c r="CV267" s="70">
        <v>0.63000000000000034</v>
      </c>
      <c r="CW267" s="70">
        <v>0.64000000000000035</v>
      </c>
      <c r="CX267" s="70">
        <v>0.65000000000000036</v>
      </c>
      <c r="CY267" s="70">
        <v>0.66000000000000036</v>
      </c>
      <c r="CZ267" s="70">
        <v>0.67000000000000037</v>
      </c>
      <c r="DA267" s="70">
        <v>0.68000000000000038</v>
      </c>
      <c r="DB267" s="70">
        <v>0.69000000000000039</v>
      </c>
      <c r="DC267" s="70">
        <v>0.7000000000000004</v>
      </c>
      <c r="DD267" s="70">
        <v>0.71000000000000041</v>
      </c>
      <c r="DE267" s="70">
        <v>0.72000000000000042</v>
      </c>
      <c r="DF267" s="70">
        <v>0.73000000000000043</v>
      </c>
      <c r="DG267" s="70">
        <v>0.74000000000000044</v>
      </c>
      <c r="DH267" s="70">
        <v>0.75000000000000044</v>
      </c>
      <c r="DI267" s="70">
        <v>0.76000000000000045</v>
      </c>
      <c r="DJ267" s="70">
        <v>0.77000000000000046</v>
      </c>
      <c r="DK267" s="70">
        <v>0.78000000000000047</v>
      </c>
      <c r="DL267" s="70">
        <v>0.79000000000000048</v>
      </c>
      <c r="DM267" s="70">
        <v>0.80000000000000049</v>
      </c>
      <c r="DN267" s="70">
        <v>0.8100000000000005</v>
      </c>
      <c r="DO267" s="70">
        <v>0.82000000000000051</v>
      </c>
      <c r="DP267" s="70">
        <v>0.83000000000000052</v>
      </c>
      <c r="DQ267" s="70">
        <v>0.84000000000000052</v>
      </c>
      <c r="DR267" s="70">
        <v>0.85000000000000053</v>
      </c>
      <c r="DS267" s="70">
        <v>0.86000000000000054</v>
      </c>
      <c r="DT267" s="70">
        <v>0.87000000000000055</v>
      </c>
      <c r="DU267" s="70">
        <v>0.88000000000000056</v>
      </c>
      <c r="DV267" s="70">
        <v>0.89000000000000057</v>
      </c>
      <c r="DW267" s="70">
        <v>0.90000000000000058</v>
      </c>
      <c r="DX267" s="70">
        <v>0.91000000000000059</v>
      </c>
      <c r="DY267" s="70">
        <v>0.9200000000000006</v>
      </c>
      <c r="DZ267" s="70">
        <v>0.9300000000000006</v>
      </c>
      <c r="EA267" s="70">
        <v>0.94000000000000061</v>
      </c>
      <c r="EB267" s="70">
        <v>0.95000000000000062</v>
      </c>
      <c r="EC267" s="70">
        <v>0.96000000000000063</v>
      </c>
      <c r="ED267" s="70">
        <v>0.97000000000000064</v>
      </c>
      <c r="EE267" s="70">
        <v>0.98000000000000065</v>
      </c>
      <c r="EF267" s="70">
        <v>0.99000000000000066</v>
      </c>
      <c r="EG267" s="70">
        <v>1.0000000000000007</v>
      </c>
    </row>
    <row r="268" spans="1:137" outlineLevel="1" x14ac:dyDescent="0.2">
      <c r="AJ268" s="70" t="s">
        <v>126</v>
      </c>
      <c r="AK268" s="70">
        <v>0.51</v>
      </c>
      <c r="AL268" s="70">
        <v>0.51</v>
      </c>
      <c r="AM268" s="70">
        <v>0.46600000000000003</v>
      </c>
      <c r="AN268" s="70">
        <v>0.44799999999999995</v>
      </c>
      <c r="AO268" s="70">
        <v>0.42799999999999999</v>
      </c>
      <c r="AP268" s="70">
        <v>0.41399999999999998</v>
      </c>
      <c r="AQ268" s="70">
        <v>0.40200000000000002</v>
      </c>
      <c r="AR268" s="70">
        <v>0.38600000000000001</v>
      </c>
      <c r="AS268" s="70">
        <v>0.36599999999999999</v>
      </c>
      <c r="AT268" s="70">
        <v>0.34799999999999998</v>
      </c>
      <c r="AU268" s="70">
        <v>0.33200000000000002</v>
      </c>
      <c r="AV268" s="70">
        <v>0.32</v>
      </c>
      <c r="AW268" s="70">
        <v>0.31</v>
      </c>
      <c r="AX268" s="70">
        <v>0.3</v>
      </c>
      <c r="AY268" s="70">
        <v>0.28999999999999998</v>
      </c>
      <c r="AZ268" s="70">
        <v>0.28000000000000003</v>
      </c>
      <c r="BA268" s="70">
        <v>0.27</v>
      </c>
      <c r="BB268" s="70">
        <v>0.26400000000000001</v>
      </c>
      <c r="BC268" s="70">
        <v>0.26200000000000001</v>
      </c>
      <c r="BD268" s="70">
        <v>0.25600000000000001</v>
      </c>
      <c r="BE268" s="70">
        <v>0.252</v>
      </c>
      <c r="BF268" s="70">
        <v>0.24399999999999999</v>
      </c>
      <c r="BG268" s="70">
        <v>0.23600000000000002</v>
      </c>
      <c r="BH268" s="70">
        <v>0.22600000000000001</v>
      </c>
      <c r="BI268" s="70">
        <v>0.218</v>
      </c>
      <c r="BJ268" s="70">
        <v>0.20600000000000002</v>
      </c>
      <c r="BK268" s="70">
        <v>0.19800000000000001</v>
      </c>
      <c r="BL268" s="70">
        <v>0.188</v>
      </c>
      <c r="BM268" s="70">
        <v>0.17800000000000002</v>
      </c>
      <c r="BN268" s="70">
        <v>0.17</v>
      </c>
      <c r="BO268" s="70">
        <v>0.16600000000000001</v>
      </c>
      <c r="BP268" s="70">
        <v>0.16200000000000001</v>
      </c>
      <c r="BQ268" s="70">
        <v>0.158</v>
      </c>
      <c r="BR268" s="70">
        <v>0.156</v>
      </c>
      <c r="BS268" s="70">
        <v>0.154</v>
      </c>
      <c r="BT268" s="70">
        <v>0.152</v>
      </c>
      <c r="BU268" s="70">
        <v>0.15</v>
      </c>
      <c r="BV268" s="70">
        <v>0.15</v>
      </c>
      <c r="BW268" s="70">
        <v>0.15</v>
      </c>
      <c r="BX268" s="70">
        <v>0.14599999999999999</v>
      </c>
      <c r="BY268" s="70">
        <v>0.14199999999999999</v>
      </c>
      <c r="BZ268" s="70">
        <v>0.13600000000000001</v>
      </c>
      <c r="CA268" s="70">
        <v>0.128</v>
      </c>
      <c r="CB268" s="70">
        <v>0.12</v>
      </c>
      <c r="CC268" s="70">
        <v>0.11599999999999999</v>
      </c>
      <c r="CD268" s="70">
        <v>0.11199999999999999</v>
      </c>
      <c r="CE268" s="70">
        <v>0.11</v>
      </c>
      <c r="CF268" s="70">
        <v>0.10800000000000001</v>
      </c>
      <c r="CG268" s="70">
        <v>0.106</v>
      </c>
      <c r="CH268" s="70">
        <v>0.10400000000000001</v>
      </c>
      <c r="CI268" s="70">
        <v>0.1</v>
      </c>
      <c r="CJ268" s="70">
        <v>9.4E-2</v>
      </c>
      <c r="CK268" s="70">
        <v>0.09</v>
      </c>
      <c r="CL268" s="70">
        <v>8.5999999999999993E-2</v>
      </c>
      <c r="CM268" s="70">
        <v>8.199999999999999E-2</v>
      </c>
      <c r="CN268" s="70">
        <v>0.08</v>
      </c>
      <c r="CO268" s="70">
        <v>7.8E-2</v>
      </c>
      <c r="CP268" s="70">
        <v>7.5999999999999998E-2</v>
      </c>
      <c r="CQ268" s="70">
        <v>7.400000000000001E-2</v>
      </c>
      <c r="CR268" s="70">
        <v>7.2000000000000008E-2</v>
      </c>
      <c r="CS268" s="70">
        <v>7.0000000000000007E-2</v>
      </c>
      <c r="CT268" s="70">
        <v>7.0000000000000007E-2</v>
      </c>
      <c r="CU268" s="70">
        <v>7.0000000000000007E-2</v>
      </c>
      <c r="CV268" s="70">
        <v>7.0000000000000007E-2</v>
      </c>
      <c r="CW268" s="70">
        <v>7.0000000000000007E-2</v>
      </c>
      <c r="CX268" s="70">
        <v>7.0000000000000007E-2</v>
      </c>
      <c r="CY268" s="70">
        <v>6.6000000000000003E-2</v>
      </c>
      <c r="CZ268" s="70">
        <v>6.2E-2</v>
      </c>
      <c r="DA268" s="70">
        <v>5.5999999999999994E-2</v>
      </c>
      <c r="DB268" s="70">
        <v>0.05</v>
      </c>
      <c r="DC268" s="70">
        <v>4.4000000000000004E-2</v>
      </c>
      <c r="DD268" s="70">
        <v>0.04</v>
      </c>
      <c r="DE268" s="70">
        <v>3.6000000000000004E-2</v>
      </c>
      <c r="DF268" s="70">
        <v>3.4000000000000002E-2</v>
      </c>
      <c r="DG268" s="70">
        <v>3.2000000000000001E-2</v>
      </c>
      <c r="DH268" s="70">
        <v>0.03</v>
      </c>
      <c r="DI268" s="70">
        <v>0.03</v>
      </c>
      <c r="DJ268" s="70">
        <v>0.03</v>
      </c>
      <c r="DK268" s="70">
        <v>2.7999999999999997E-2</v>
      </c>
      <c r="DL268" s="70">
        <v>2.6000000000000002E-2</v>
      </c>
      <c r="DM268" s="70">
        <v>2.4E-2</v>
      </c>
      <c r="DN268" s="70">
        <v>2.2000000000000002E-2</v>
      </c>
      <c r="DO268" s="70">
        <v>1.8000000000000002E-2</v>
      </c>
      <c r="DP268" s="70">
        <v>1.6E-2</v>
      </c>
      <c r="DQ268" s="70">
        <v>1.3999999999999999E-2</v>
      </c>
      <c r="DR268" s="70">
        <v>1.2E-2</v>
      </c>
      <c r="DS268" s="70">
        <v>0.01</v>
      </c>
      <c r="DT268" s="70">
        <v>0.01</v>
      </c>
      <c r="DU268" s="70">
        <v>0.01</v>
      </c>
      <c r="DV268" s="70">
        <v>0.01</v>
      </c>
      <c r="DW268" s="70">
        <v>8.0000000000000002E-3</v>
      </c>
      <c r="DX268" s="70">
        <v>6.0000000000000001E-3</v>
      </c>
      <c r="DY268" s="70">
        <v>4.0000000000000001E-3</v>
      </c>
      <c r="DZ268" s="70">
        <v>2E-3</v>
      </c>
      <c r="EA268" s="70">
        <v>0</v>
      </c>
      <c r="EB268" s="70">
        <v>0</v>
      </c>
      <c r="EC268" s="70">
        <v>0</v>
      </c>
      <c r="ED268" s="70">
        <v>0</v>
      </c>
      <c r="EE268" s="70">
        <v>0</v>
      </c>
      <c r="EF268" s="70">
        <v>0</v>
      </c>
      <c r="EG268" s="70">
        <v>0</v>
      </c>
    </row>
    <row r="269" spans="1:137" outlineLevel="1" x14ac:dyDescent="0.2">
      <c r="AJ269" s="70" t="s">
        <v>127</v>
      </c>
      <c r="AK269" s="70">
        <v>0</v>
      </c>
      <c r="AL269" s="70">
        <v>0</v>
      </c>
      <c r="AM269" s="70">
        <v>0</v>
      </c>
      <c r="AN269" s="70">
        <v>0</v>
      </c>
      <c r="AO269" s="70">
        <v>0</v>
      </c>
      <c r="AP269" s="70">
        <v>0</v>
      </c>
      <c r="AQ269" s="70">
        <v>0</v>
      </c>
      <c r="AR269" s="70">
        <v>0</v>
      </c>
      <c r="AS269" s="70">
        <v>0</v>
      </c>
      <c r="AT269" s="70">
        <v>0</v>
      </c>
      <c r="AU269" s="70">
        <v>2E-3</v>
      </c>
      <c r="AV269" s="70">
        <v>4.0000000000000001E-3</v>
      </c>
      <c r="AW269" s="70">
        <v>6.0000000000000001E-3</v>
      </c>
      <c r="AX269" s="70">
        <v>8.0000000000000002E-3</v>
      </c>
      <c r="AY269" s="70">
        <v>0.01</v>
      </c>
      <c r="AZ269" s="70">
        <v>0.01</v>
      </c>
      <c r="BA269" s="70">
        <v>1.2E-2</v>
      </c>
      <c r="BB269" s="70">
        <v>1.3999999999999999E-2</v>
      </c>
      <c r="BC269" s="70">
        <v>1.8000000000000002E-2</v>
      </c>
      <c r="BD269" s="70">
        <v>2.2000000000000002E-2</v>
      </c>
      <c r="BE269" s="70">
        <v>2.6000000000000002E-2</v>
      </c>
      <c r="BF269" s="70">
        <v>2.7999999999999997E-2</v>
      </c>
      <c r="BG269" s="70">
        <v>0.03</v>
      </c>
      <c r="BH269" s="70">
        <v>0.03</v>
      </c>
      <c r="BI269" s="70">
        <v>0.03</v>
      </c>
      <c r="BJ269" s="70">
        <v>3.2000000000000001E-2</v>
      </c>
      <c r="BK269" s="70">
        <v>3.4000000000000002E-2</v>
      </c>
      <c r="BL269" s="70">
        <v>3.6000000000000004E-2</v>
      </c>
      <c r="BM269" s="70">
        <v>0.04</v>
      </c>
      <c r="BN269" s="70">
        <v>4.4000000000000004E-2</v>
      </c>
      <c r="BO269" s="70">
        <v>4.5999999999999999E-2</v>
      </c>
      <c r="BP269" s="70">
        <v>4.8000000000000001E-2</v>
      </c>
      <c r="BQ269" s="70">
        <v>0.05</v>
      </c>
      <c r="BR269" s="70">
        <v>0.05</v>
      </c>
      <c r="BS269" s="70">
        <v>0.05</v>
      </c>
      <c r="BT269" s="70">
        <v>5.4000000000000006E-2</v>
      </c>
      <c r="BU269" s="70">
        <v>5.7999999999999996E-2</v>
      </c>
      <c r="BV269" s="70">
        <v>6.4000000000000001E-2</v>
      </c>
      <c r="BW269" s="70">
        <v>7.400000000000001E-2</v>
      </c>
      <c r="BX269" s="70">
        <v>8.4000000000000005E-2</v>
      </c>
      <c r="BY269" s="70">
        <v>0.09</v>
      </c>
      <c r="BZ269" s="70">
        <v>9.6000000000000002E-2</v>
      </c>
      <c r="CA269" s="70">
        <v>0.10199999999999999</v>
      </c>
      <c r="CB269" s="70">
        <v>0.10400000000000001</v>
      </c>
      <c r="CC269" s="70">
        <v>0.106</v>
      </c>
      <c r="CD269" s="70">
        <v>0.10800000000000001</v>
      </c>
      <c r="CE269" s="70">
        <v>0.11199999999999999</v>
      </c>
      <c r="CF269" s="70">
        <v>0.114</v>
      </c>
      <c r="CG269" s="70">
        <v>0.11800000000000001</v>
      </c>
      <c r="CH269" s="70">
        <v>0.122</v>
      </c>
      <c r="CI269" s="70">
        <v>0.126</v>
      </c>
      <c r="CJ269" s="70">
        <v>0.128</v>
      </c>
      <c r="CK269" s="70">
        <v>0.13</v>
      </c>
      <c r="CL269" s="70">
        <v>0.13200000000000001</v>
      </c>
      <c r="CM269" s="70">
        <v>0.13400000000000001</v>
      </c>
      <c r="CN269" s="70">
        <v>0.13600000000000001</v>
      </c>
      <c r="CO269" s="70">
        <v>0.13800000000000001</v>
      </c>
      <c r="CP269" s="70">
        <v>0.14199999999999999</v>
      </c>
      <c r="CQ269" s="70">
        <v>0.14400000000000002</v>
      </c>
      <c r="CR269" s="70">
        <v>0.14599999999999999</v>
      </c>
      <c r="CS269" s="70">
        <v>0.14800000000000002</v>
      </c>
      <c r="CT269" s="70">
        <v>0.15</v>
      </c>
      <c r="CU269" s="70">
        <v>0.152</v>
      </c>
      <c r="CV269" s="70">
        <v>0.154</v>
      </c>
      <c r="CW269" s="70">
        <v>0.156</v>
      </c>
      <c r="CX269" s="70">
        <v>0.158</v>
      </c>
      <c r="CY269" s="70">
        <v>0.16200000000000001</v>
      </c>
      <c r="CZ269" s="70">
        <v>0.16399999999999998</v>
      </c>
      <c r="DA269" s="70">
        <v>0.16600000000000001</v>
      </c>
      <c r="DB269" s="70">
        <v>0.17</v>
      </c>
      <c r="DC269" s="70">
        <v>0.17600000000000002</v>
      </c>
      <c r="DD269" s="70">
        <v>0.18</v>
      </c>
      <c r="DE269" s="70">
        <v>0.18600000000000003</v>
      </c>
      <c r="DF269" s="70">
        <v>0.19399999999999998</v>
      </c>
      <c r="DG269" s="70">
        <v>0.2</v>
      </c>
      <c r="DH269" s="70">
        <v>0.20399999999999999</v>
      </c>
      <c r="DI269" s="70">
        <v>0.20800000000000002</v>
      </c>
      <c r="DJ269" s="70">
        <v>0.21</v>
      </c>
      <c r="DK269" s="70">
        <v>0.21</v>
      </c>
      <c r="DL269" s="70">
        <v>0.21</v>
      </c>
      <c r="DM269" s="70">
        <v>0.21199999999999999</v>
      </c>
      <c r="DN269" s="70">
        <v>0.218</v>
      </c>
      <c r="DO269" s="70">
        <v>0.22800000000000001</v>
      </c>
      <c r="DP269" s="70">
        <v>0.24</v>
      </c>
      <c r="DQ269" s="70">
        <v>0.254</v>
      </c>
      <c r="DR269" s="70">
        <v>0.27</v>
      </c>
      <c r="DS269" s="70">
        <v>0.28399999999999997</v>
      </c>
      <c r="DT269" s="70">
        <v>0.29600000000000004</v>
      </c>
      <c r="DU269" s="70">
        <v>0.30599999999999999</v>
      </c>
      <c r="DV269" s="70">
        <v>0.314</v>
      </c>
      <c r="DW269" s="70">
        <v>0.32200000000000001</v>
      </c>
      <c r="DX269" s="70">
        <v>0.33</v>
      </c>
      <c r="DY269" s="70">
        <v>0.34</v>
      </c>
      <c r="DZ269" s="70">
        <v>0.35</v>
      </c>
      <c r="EA269" s="70">
        <v>0.36200000000000004</v>
      </c>
      <c r="EB269" s="70">
        <v>0.38</v>
      </c>
      <c r="EC269" s="70">
        <v>0.39799999999999996</v>
      </c>
      <c r="ED269" s="70">
        <v>0.42</v>
      </c>
      <c r="EE269" s="70">
        <v>0.44400000000000001</v>
      </c>
      <c r="EF269" s="70">
        <v>0.48</v>
      </c>
      <c r="EG269" s="70">
        <v>0.49</v>
      </c>
    </row>
    <row r="270" spans="1:137" outlineLevel="1" x14ac:dyDescent="0.2">
      <c r="AJ270" s="70" t="s">
        <v>128</v>
      </c>
      <c r="AK270" s="70">
        <v>0.51</v>
      </c>
      <c r="AL270" s="70">
        <v>0.51</v>
      </c>
      <c r="AM270" s="70">
        <v>0.46600000000000003</v>
      </c>
      <c r="AN270" s="70">
        <v>0.44799999999999995</v>
      </c>
      <c r="AO270" s="70">
        <v>0.42799999999999999</v>
      </c>
      <c r="AP270" s="70">
        <v>0.41399999999999998</v>
      </c>
      <c r="AQ270" s="70">
        <v>0.40200000000000002</v>
      </c>
      <c r="AR270" s="70">
        <v>0.38600000000000001</v>
      </c>
      <c r="AS270" s="70">
        <v>0.36599999999999999</v>
      </c>
      <c r="AT270" s="70">
        <v>0.34799999999999998</v>
      </c>
      <c r="AU270" s="70">
        <v>0.33400000000000002</v>
      </c>
      <c r="AV270" s="70">
        <v>0.32400000000000001</v>
      </c>
      <c r="AW270" s="70">
        <v>0.316</v>
      </c>
      <c r="AX270" s="70">
        <v>0.308</v>
      </c>
      <c r="AY270" s="70">
        <v>0.3</v>
      </c>
      <c r="AZ270" s="70">
        <v>0.29000000000000004</v>
      </c>
      <c r="BA270" s="70">
        <v>0.28200000000000003</v>
      </c>
      <c r="BB270" s="70">
        <v>0.27800000000000002</v>
      </c>
      <c r="BC270" s="70">
        <v>0.28000000000000003</v>
      </c>
      <c r="BD270" s="70">
        <v>0.27800000000000002</v>
      </c>
      <c r="BE270" s="70">
        <v>0.27800000000000002</v>
      </c>
      <c r="BF270" s="70">
        <v>0.27200000000000002</v>
      </c>
      <c r="BG270" s="70">
        <v>0.26600000000000001</v>
      </c>
      <c r="BH270" s="70">
        <v>0.25600000000000001</v>
      </c>
      <c r="BI270" s="70">
        <v>0.248</v>
      </c>
      <c r="BJ270" s="70">
        <v>0.23800000000000002</v>
      </c>
      <c r="BK270" s="70">
        <v>0.23200000000000001</v>
      </c>
      <c r="BL270" s="70">
        <v>0.224</v>
      </c>
      <c r="BM270" s="70">
        <v>0.21800000000000003</v>
      </c>
      <c r="BN270" s="70">
        <v>0.21400000000000002</v>
      </c>
      <c r="BO270" s="70">
        <v>0.21200000000000002</v>
      </c>
      <c r="BP270" s="70">
        <v>0.21000000000000002</v>
      </c>
      <c r="BQ270" s="70">
        <v>0.20800000000000002</v>
      </c>
      <c r="BR270" s="70">
        <v>0.20600000000000002</v>
      </c>
      <c r="BS270" s="70">
        <v>0.20400000000000001</v>
      </c>
      <c r="BT270" s="70">
        <v>0.20600000000000002</v>
      </c>
      <c r="BU270" s="70">
        <v>0.20799999999999999</v>
      </c>
      <c r="BV270" s="70">
        <v>0.214</v>
      </c>
      <c r="BW270" s="70">
        <v>0.224</v>
      </c>
      <c r="BX270" s="70">
        <v>0.22999999999999998</v>
      </c>
      <c r="BY270" s="70">
        <v>0.23199999999999998</v>
      </c>
      <c r="BZ270" s="70">
        <v>0.23200000000000001</v>
      </c>
      <c r="CA270" s="70">
        <v>0.22999999999999998</v>
      </c>
      <c r="CB270" s="70">
        <v>0.224</v>
      </c>
      <c r="CC270" s="70">
        <v>0.22199999999999998</v>
      </c>
      <c r="CD270" s="70">
        <v>0.22</v>
      </c>
      <c r="CE270" s="70">
        <v>0.22199999999999998</v>
      </c>
      <c r="CF270" s="70">
        <v>0.22200000000000003</v>
      </c>
      <c r="CG270" s="70">
        <v>0.224</v>
      </c>
      <c r="CH270" s="70">
        <v>0.22600000000000001</v>
      </c>
      <c r="CI270" s="70">
        <v>0.22600000000000001</v>
      </c>
      <c r="CJ270" s="70">
        <v>0.222</v>
      </c>
      <c r="CK270" s="70">
        <v>0.22</v>
      </c>
      <c r="CL270" s="70">
        <v>0.218</v>
      </c>
      <c r="CM270" s="70">
        <v>0.216</v>
      </c>
      <c r="CN270" s="70">
        <v>0.21600000000000003</v>
      </c>
      <c r="CO270" s="70">
        <v>0.21600000000000003</v>
      </c>
      <c r="CP270" s="70">
        <v>0.21799999999999997</v>
      </c>
      <c r="CQ270" s="70">
        <v>0.21800000000000003</v>
      </c>
      <c r="CR270" s="70">
        <v>0.218</v>
      </c>
      <c r="CS270" s="70">
        <v>0.21800000000000003</v>
      </c>
      <c r="CT270" s="70">
        <v>0.22</v>
      </c>
      <c r="CU270" s="70">
        <v>0.222</v>
      </c>
      <c r="CV270" s="70">
        <v>0.224</v>
      </c>
      <c r="CW270" s="70">
        <v>0.22600000000000001</v>
      </c>
      <c r="CX270" s="70">
        <v>0.22800000000000001</v>
      </c>
      <c r="CY270" s="70">
        <v>0.22800000000000001</v>
      </c>
      <c r="CZ270" s="70">
        <v>0.22599999999999998</v>
      </c>
      <c r="DA270" s="70">
        <v>0.222</v>
      </c>
      <c r="DB270" s="70">
        <v>0.22000000000000003</v>
      </c>
      <c r="DC270" s="70">
        <v>0.22000000000000003</v>
      </c>
      <c r="DD270" s="70">
        <v>0.22</v>
      </c>
      <c r="DE270" s="70">
        <v>0.22200000000000003</v>
      </c>
      <c r="DF270" s="70">
        <v>0.22799999999999998</v>
      </c>
      <c r="DG270" s="70">
        <v>0.23200000000000001</v>
      </c>
      <c r="DH270" s="70">
        <v>0.23399999999999999</v>
      </c>
      <c r="DI270" s="70">
        <v>0.23800000000000002</v>
      </c>
      <c r="DJ270" s="70">
        <v>0.24</v>
      </c>
      <c r="DK270" s="70">
        <v>0.23799999999999999</v>
      </c>
      <c r="DL270" s="70">
        <v>0.23599999999999999</v>
      </c>
      <c r="DM270" s="70">
        <v>0.23599999999999999</v>
      </c>
      <c r="DN270" s="70">
        <v>0.24</v>
      </c>
      <c r="DO270" s="70">
        <v>0.246</v>
      </c>
      <c r="DP270" s="70">
        <v>0.25600000000000001</v>
      </c>
      <c r="DQ270" s="70">
        <v>0.26800000000000002</v>
      </c>
      <c r="DR270" s="70">
        <v>0.28200000000000003</v>
      </c>
      <c r="DS270" s="70">
        <v>0.29399999999999998</v>
      </c>
      <c r="DT270" s="70">
        <v>0.30600000000000005</v>
      </c>
      <c r="DU270" s="70">
        <v>0.316</v>
      </c>
      <c r="DV270" s="70">
        <v>0.32400000000000001</v>
      </c>
      <c r="DW270" s="70">
        <v>0.33</v>
      </c>
      <c r="DX270" s="70">
        <v>0.33600000000000002</v>
      </c>
      <c r="DY270" s="70">
        <v>0.34400000000000003</v>
      </c>
      <c r="DZ270" s="70">
        <v>0.35199999999999998</v>
      </c>
      <c r="EA270" s="70">
        <v>0.36200000000000004</v>
      </c>
      <c r="EB270" s="70">
        <v>0.38</v>
      </c>
      <c r="EC270" s="70">
        <v>0.39799999999999996</v>
      </c>
      <c r="ED270" s="70">
        <v>0.42</v>
      </c>
      <c r="EE270" s="70">
        <v>0.44400000000000001</v>
      </c>
      <c r="EF270" s="70">
        <v>0.48</v>
      </c>
      <c r="EG270" s="70">
        <v>0.49</v>
      </c>
    </row>
    <row r="271" spans="1:137" outlineLevel="1" x14ac:dyDescent="0.2">
      <c r="AJ271" s="70" t="str">
        <f xml:space="preserve"> TEXT($F$267,"0%") &amp; " Wtd.Avg."</f>
        <v>50% Wtd.Avg.</v>
      </c>
      <c r="AK271" s="70">
        <f>$F$267*AK269+(1-$F$267)*AK268</f>
        <v>0.255</v>
      </c>
      <c r="AL271" s="70">
        <f>$F$267*AL269+(1-$F$267)*AL268</f>
        <v>0.255</v>
      </c>
      <c r="AM271" s="70">
        <f>$F$267*AM269+(1-$F$267)*AM268</f>
        <v>0.23300000000000001</v>
      </c>
      <c r="AN271" s="70">
        <f t="shared" ref="AN271:CY271" si="38">$F$267*AN269+(1-$F$267)*AN268</f>
        <v>0.22399999999999998</v>
      </c>
      <c r="AO271" s="70">
        <f t="shared" si="38"/>
        <v>0.214</v>
      </c>
      <c r="AP271" s="70">
        <f t="shared" si="38"/>
        <v>0.20699999999999999</v>
      </c>
      <c r="AQ271" s="70">
        <f t="shared" si="38"/>
        <v>0.20100000000000001</v>
      </c>
      <c r="AR271" s="70">
        <f t="shared" si="38"/>
        <v>0.193</v>
      </c>
      <c r="AS271" s="70">
        <f t="shared" si="38"/>
        <v>0.183</v>
      </c>
      <c r="AT271" s="70">
        <f t="shared" si="38"/>
        <v>0.17399999999999999</v>
      </c>
      <c r="AU271" s="70">
        <f t="shared" si="38"/>
        <v>0.16700000000000001</v>
      </c>
      <c r="AV271" s="70">
        <f t="shared" si="38"/>
        <v>0.16200000000000001</v>
      </c>
      <c r="AW271" s="70">
        <f t="shared" si="38"/>
        <v>0.158</v>
      </c>
      <c r="AX271" s="70">
        <f t="shared" si="38"/>
        <v>0.154</v>
      </c>
      <c r="AY271" s="70">
        <f t="shared" si="38"/>
        <v>0.15</v>
      </c>
      <c r="AZ271" s="70">
        <f t="shared" si="38"/>
        <v>0.14500000000000002</v>
      </c>
      <c r="BA271" s="70">
        <f t="shared" si="38"/>
        <v>0.14100000000000001</v>
      </c>
      <c r="BB271" s="70">
        <f t="shared" si="38"/>
        <v>0.13900000000000001</v>
      </c>
      <c r="BC271" s="70">
        <f t="shared" si="38"/>
        <v>0.14000000000000001</v>
      </c>
      <c r="BD271" s="70">
        <f t="shared" si="38"/>
        <v>0.13900000000000001</v>
      </c>
      <c r="BE271" s="70">
        <f t="shared" si="38"/>
        <v>0.13900000000000001</v>
      </c>
      <c r="BF271" s="70">
        <f t="shared" si="38"/>
        <v>0.13600000000000001</v>
      </c>
      <c r="BG271" s="70">
        <f t="shared" si="38"/>
        <v>0.13300000000000001</v>
      </c>
      <c r="BH271" s="70">
        <f t="shared" si="38"/>
        <v>0.128</v>
      </c>
      <c r="BI271" s="70">
        <f t="shared" si="38"/>
        <v>0.124</v>
      </c>
      <c r="BJ271" s="70">
        <f t="shared" si="38"/>
        <v>0.11900000000000001</v>
      </c>
      <c r="BK271" s="70">
        <f t="shared" si="38"/>
        <v>0.11600000000000001</v>
      </c>
      <c r="BL271" s="70">
        <f t="shared" si="38"/>
        <v>0.112</v>
      </c>
      <c r="BM271" s="70">
        <f t="shared" si="38"/>
        <v>0.10900000000000001</v>
      </c>
      <c r="BN271" s="70">
        <f t="shared" si="38"/>
        <v>0.10700000000000001</v>
      </c>
      <c r="BO271" s="70">
        <f t="shared" si="38"/>
        <v>0.10600000000000001</v>
      </c>
      <c r="BP271" s="70">
        <f t="shared" si="38"/>
        <v>0.10500000000000001</v>
      </c>
      <c r="BQ271" s="70">
        <f t="shared" si="38"/>
        <v>0.10400000000000001</v>
      </c>
      <c r="BR271" s="70">
        <f t="shared" si="38"/>
        <v>0.10300000000000001</v>
      </c>
      <c r="BS271" s="70">
        <f t="shared" si="38"/>
        <v>0.10200000000000001</v>
      </c>
      <c r="BT271" s="70">
        <f t="shared" si="38"/>
        <v>0.10300000000000001</v>
      </c>
      <c r="BU271" s="70">
        <f t="shared" si="38"/>
        <v>0.104</v>
      </c>
      <c r="BV271" s="70">
        <f t="shared" si="38"/>
        <v>0.107</v>
      </c>
      <c r="BW271" s="70">
        <f t="shared" si="38"/>
        <v>0.112</v>
      </c>
      <c r="BX271" s="70">
        <f t="shared" si="38"/>
        <v>0.11499999999999999</v>
      </c>
      <c r="BY271" s="70">
        <f t="shared" si="38"/>
        <v>0.11599999999999999</v>
      </c>
      <c r="BZ271" s="70">
        <f t="shared" si="38"/>
        <v>0.11600000000000001</v>
      </c>
      <c r="CA271" s="70">
        <f t="shared" si="38"/>
        <v>0.11499999999999999</v>
      </c>
      <c r="CB271" s="70">
        <f t="shared" si="38"/>
        <v>0.112</v>
      </c>
      <c r="CC271" s="70">
        <f t="shared" si="38"/>
        <v>0.11099999999999999</v>
      </c>
      <c r="CD271" s="70">
        <f t="shared" si="38"/>
        <v>0.11</v>
      </c>
      <c r="CE271" s="70">
        <f t="shared" si="38"/>
        <v>0.11099999999999999</v>
      </c>
      <c r="CF271" s="70">
        <f t="shared" si="38"/>
        <v>0.11100000000000002</v>
      </c>
      <c r="CG271" s="70">
        <f t="shared" si="38"/>
        <v>0.112</v>
      </c>
      <c r="CH271" s="70">
        <f t="shared" si="38"/>
        <v>0.113</v>
      </c>
      <c r="CI271" s="70">
        <f t="shared" si="38"/>
        <v>0.113</v>
      </c>
      <c r="CJ271" s="70">
        <f t="shared" si="38"/>
        <v>0.111</v>
      </c>
      <c r="CK271" s="70">
        <f t="shared" si="38"/>
        <v>0.11</v>
      </c>
      <c r="CL271" s="70">
        <f t="shared" si="38"/>
        <v>0.109</v>
      </c>
      <c r="CM271" s="70">
        <f t="shared" si="38"/>
        <v>0.108</v>
      </c>
      <c r="CN271" s="70">
        <f t="shared" si="38"/>
        <v>0.10800000000000001</v>
      </c>
      <c r="CO271" s="70">
        <f t="shared" si="38"/>
        <v>0.10800000000000001</v>
      </c>
      <c r="CP271" s="70">
        <f t="shared" si="38"/>
        <v>0.10899999999999999</v>
      </c>
      <c r="CQ271" s="70">
        <f t="shared" si="38"/>
        <v>0.10900000000000001</v>
      </c>
      <c r="CR271" s="70">
        <f t="shared" si="38"/>
        <v>0.109</v>
      </c>
      <c r="CS271" s="70">
        <f t="shared" si="38"/>
        <v>0.10900000000000001</v>
      </c>
      <c r="CT271" s="70">
        <f t="shared" si="38"/>
        <v>0.11</v>
      </c>
      <c r="CU271" s="70">
        <f t="shared" si="38"/>
        <v>0.111</v>
      </c>
      <c r="CV271" s="70">
        <f t="shared" si="38"/>
        <v>0.112</v>
      </c>
      <c r="CW271" s="70">
        <f t="shared" si="38"/>
        <v>0.113</v>
      </c>
      <c r="CX271" s="70">
        <f t="shared" si="38"/>
        <v>0.114</v>
      </c>
      <c r="CY271" s="70">
        <f t="shared" si="38"/>
        <v>0.114</v>
      </c>
      <c r="CZ271" s="70">
        <f t="shared" ref="CZ271:EE271" si="39">$F$267*CZ269+(1-$F$267)*CZ268</f>
        <v>0.11299999999999999</v>
      </c>
      <c r="DA271" s="70">
        <f t="shared" si="39"/>
        <v>0.111</v>
      </c>
      <c r="DB271" s="70">
        <f t="shared" si="39"/>
        <v>0.11000000000000001</v>
      </c>
      <c r="DC271" s="70">
        <f t="shared" si="39"/>
        <v>0.11000000000000001</v>
      </c>
      <c r="DD271" s="70">
        <f t="shared" si="39"/>
        <v>0.11</v>
      </c>
      <c r="DE271" s="70">
        <f t="shared" si="39"/>
        <v>0.11100000000000002</v>
      </c>
      <c r="DF271" s="70">
        <f t="shared" si="39"/>
        <v>0.11399999999999999</v>
      </c>
      <c r="DG271" s="70">
        <f t="shared" si="39"/>
        <v>0.11600000000000001</v>
      </c>
      <c r="DH271" s="70">
        <f t="shared" si="39"/>
        <v>0.11699999999999999</v>
      </c>
      <c r="DI271" s="70">
        <f t="shared" si="39"/>
        <v>0.11900000000000001</v>
      </c>
      <c r="DJ271" s="70">
        <f t="shared" si="39"/>
        <v>0.12</v>
      </c>
      <c r="DK271" s="70">
        <f t="shared" si="39"/>
        <v>0.11899999999999999</v>
      </c>
      <c r="DL271" s="70">
        <f t="shared" si="39"/>
        <v>0.11799999999999999</v>
      </c>
      <c r="DM271" s="70">
        <f t="shared" si="39"/>
        <v>0.11799999999999999</v>
      </c>
      <c r="DN271" s="70">
        <f t="shared" si="39"/>
        <v>0.12</v>
      </c>
      <c r="DO271" s="70">
        <f t="shared" si="39"/>
        <v>0.123</v>
      </c>
      <c r="DP271" s="70">
        <f t="shared" si="39"/>
        <v>0.128</v>
      </c>
      <c r="DQ271" s="70">
        <f t="shared" si="39"/>
        <v>0.13400000000000001</v>
      </c>
      <c r="DR271" s="70">
        <f t="shared" si="39"/>
        <v>0.14100000000000001</v>
      </c>
      <c r="DS271" s="70">
        <f t="shared" si="39"/>
        <v>0.14699999999999999</v>
      </c>
      <c r="DT271" s="70">
        <f t="shared" si="39"/>
        <v>0.15300000000000002</v>
      </c>
      <c r="DU271" s="70">
        <f t="shared" si="39"/>
        <v>0.158</v>
      </c>
      <c r="DV271" s="70">
        <f t="shared" si="39"/>
        <v>0.16200000000000001</v>
      </c>
      <c r="DW271" s="70">
        <f t="shared" si="39"/>
        <v>0.16500000000000001</v>
      </c>
      <c r="DX271" s="70">
        <f t="shared" si="39"/>
        <v>0.16800000000000001</v>
      </c>
      <c r="DY271" s="70">
        <f t="shared" si="39"/>
        <v>0.17200000000000001</v>
      </c>
      <c r="DZ271" s="70">
        <f t="shared" si="39"/>
        <v>0.17599999999999999</v>
      </c>
      <c r="EA271" s="70">
        <f t="shared" si="39"/>
        <v>0.18100000000000002</v>
      </c>
      <c r="EB271" s="70">
        <f t="shared" si="39"/>
        <v>0.19</v>
      </c>
      <c r="EC271" s="70">
        <f t="shared" si="39"/>
        <v>0.19899999999999998</v>
      </c>
      <c r="ED271" s="70">
        <f t="shared" si="39"/>
        <v>0.21</v>
      </c>
      <c r="EE271" s="70">
        <f t="shared" si="39"/>
        <v>0.222</v>
      </c>
      <c r="EF271" s="70">
        <f>$F$267*EF269+(1-$F$267)*EF268</f>
        <v>0.24</v>
      </c>
      <c r="EG271" s="70">
        <f>$F$267*EG269+(1-$F$267)*EG268</f>
        <v>0.245</v>
      </c>
    </row>
    <row r="272" spans="1:137" outlineLevel="1" x14ac:dyDescent="0.2">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row>
    <row r="273" spans="1:137" outlineLevel="1" x14ac:dyDescent="0.2">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row>
    <row r="274" spans="1:137" outlineLevel="1" x14ac:dyDescent="0.2">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c r="EB274" s="70"/>
      <c r="EC274" s="70"/>
      <c r="ED274" s="70"/>
      <c r="EE274" s="70"/>
      <c r="EF274" s="70"/>
      <c r="EG274" s="70"/>
    </row>
    <row r="275" spans="1:137" outlineLevel="1" x14ac:dyDescent="0.2">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c r="EB275" s="70"/>
      <c r="EC275" s="70"/>
      <c r="ED275" s="70"/>
      <c r="EE275" s="70"/>
      <c r="EF275" s="70"/>
      <c r="EG275" s="70"/>
    </row>
    <row r="276" spans="1:137" outlineLevel="1" x14ac:dyDescent="0.2">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c r="EB276" s="70"/>
      <c r="EC276" s="70"/>
      <c r="ED276" s="70"/>
      <c r="EE276" s="70"/>
      <c r="EF276" s="70"/>
      <c r="EG276" s="70"/>
    </row>
    <row r="277" spans="1:137" outlineLevel="1" x14ac:dyDescent="0.2">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row>
    <row r="278" spans="1:137" outlineLevel="1" x14ac:dyDescent="0.2">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c r="DX278" s="70"/>
      <c r="DY278" s="70"/>
      <c r="DZ278" s="70"/>
      <c r="EA278" s="70"/>
      <c r="EB278" s="70"/>
      <c r="EC278" s="70"/>
      <c r="ED278" s="70"/>
      <c r="EE278" s="70"/>
      <c r="EF278" s="70"/>
      <c r="EG278" s="70"/>
    </row>
    <row r="279" spans="1:137" outlineLevel="1" x14ac:dyDescent="0.2">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c r="EB279" s="70"/>
      <c r="EC279" s="70"/>
      <c r="ED279" s="70"/>
      <c r="EE279" s="70"/>
      <c r="EF279" s="70"/>
      <c r="EG279" s="70"/>
    </row>
    <row r="280" spans="1:137" outlineLevel="1" x14ac:dyDescent="0.2">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c r="EB280" s="70"/>
      <c r="EC280" s="70"/>
      <c r="ED280" s="70"/>
      <c r="EE280" s="70"/>
      <c r="EF280" s="70"/>
      <c r="EG280" s="70"/>
    </row>
    <row r="281" spans="1:137" outlineLevel="1" x14ac:dyDescent="0.2">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row>
    <row r="282" spans="1:137" outlineLevel="1" x14ac:dyDescent="0.2">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c r="DX282" s="70"/>
      <c r="DY282" s="70"/>
      <c r="DZ282" s="70"/>
      <c r="EA282" s="70"/>
      <c r="EB282" s="70"/>
      <c r="EC282" s="70"/>
      <c r="ED282" s="70"/>
      <c r="EE282" s="70"/>
      <c r="EF282" s="70"/>
      <c r="EG282" s="70"/>
    </row>
    <row r="283" spans="1:137" outlineLevel="1" x14ac:dyDescent="0.2">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c r="DX283" s="70"/>
      <c r="DY283" s="70"/>
      <c r="DZ283" s="70"/>
      <c r="EA283" s="70"/>
      <c r="EB283" s="70"/>
      <c r="EC283" s="70"/>
      <c r="ED283" s="70"/>
      <c r="EE283" s="70"/>
      <c r="EF283" s="70"/>
      <c r="EG283" s="70"/>
    </row>
    <row r="284" spans="1:137" outlineLevel="1" x14ac:dyDescent="0.2">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c r="DX284" s="70"/>
      <c r="DY284" s="70"/>
      <c r="DZ284" s="70"/>
      <c r="EA284" s="70"/>
      <c r="EB284" s="70"/>
      <c r="EC284" s="70"/>
      <c r="ED284" s="70"/>
      <c r="EE284" s="70"/>
      <c r="EF284" s="70"/>
      <c r="EG284" s="70"/>
    </row>
    <row r="285" spans="1:137" outlineLevel="1" x14ac:dyDescent="0.2">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c r="DX285" s="70"/>
      <c r="DY285" s="70"/>
      <c r="DZ285" s="70"/>
      <c r="EA285" s="70"/>
      <c r="EB285" s="70"/>
      <c r="EC285" s="70"/>
      <c r="ED285" s="70"/>
      <c r="EE285" s="70"/>
      <c r="EF285" s="70"/>
      <c r="EG285" s="70"/>
    </row>
    <row r="286" spans="1:137" outlineLevel="1" x14ac:dyDescent="0.2">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c r="EB286" s="70"/>
      <c r="EC286" s="70"/>
      <c r="ED286" s="70"/>
      <c r="EE286" s="70"/>
      <c r="EF286" s="70"/>
      <c r="EG286" s="70"/>
    </row>
    <row r="287" spans="1:137" outlineLevel="1" x14ac:dyDescent="0.2">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70"/>
      <c r="DZ287" s="70"/>
      <c r="EA287" s="70"/>
      <c r="EB287" s="70"/>
      <c r="EC287" s="70"/>
      <c r="ED287" s="70"/>
      <c r="EE287" s="70"/>
      <c r="EF287" s="70"/>
      <c r="EG287" s="70"/>
    </row>
    <row r="288" spans="1:137" x14ac:dyDescent="0.2">
      <c r="A288" s="86"/>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c r="EB288" s="70"/>
      <c r="EC288" s="70"/>
      <c r="ED288" s="70"/>
      <c r="EE288" s="70"/>
      <c r="EF288" s="70"/>
      <c r="EG288" s="70"/>
    </row>
    <row r="289" spans="1:137" x14ac:dyDescent="0.2">
      <c r="A289" s="12" t="s">
        <v>90</v>
      </c>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c r="EB289" s="70"/>
      <c r="EC289" s="70"/>
      <c r="ED289" s="70"/>
      <c r="EE289" s="70"/>
      <c r="EF289" s="70"/>
      <c r="EG289" s="70"/>
    </row>
    <row r="290" spans="1:137" ht="12" outlineLevel="1" thickBot="1" x14ac:dyDescent="0.25">
      <c r="A290" s="14" t="s">
        <v>91</v>
      </c>
      <c r="B290" s="68" t="s">
        <v>74</v>
      </c>
      <c r="C290" s="16" t="s">
        <v>92</v>
      </c>
      <c r="D290" s="16" t="s">
        <v>50</v>
      </c>
      <c r="E290" s="16" t="s">
        <v>44</v>
      </c>
      <c r="F290" s="16" t="s">
        <v>93</v>
      </c>
      <c r="G290" s="16" t="s">
        <v>94</v>
      </c>
      <c r="H290" s="16" t="s">
        <v>95</v>
      </c>
      <c r="I290" s="16" t="s">
        <v>96</v>
      </c>
      <c r="J290" s="16" t="s">
        <v>97</v>
      </c>
      <c r="AJ290" s="70"/>
      <c r="AK290" s="70"/>
      <c r="AL290" s="70"/>
      <c r="AM290" s="70"/>
      <c r="AN290" s="70"/>
      <c r="AO290" s="70"/>
      <c r="AP290" s="70"/>
      <c r="AQ290" s="83"/>
      <c r="AR290" s="70"/>
      <c r="AS290" s="70"/>
      <c r="AT290" s="70"/>
      <c r="AU290" s="84" t="s">
        <v>98</v>
      </c>
      <c r="AV290" s="82" t="s">
        <v>99</v>
      </c>
      <c r="AW290" s="82" t="s">
        <v>100</v>
      </c>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c r="DX290" s="70"/>
      <c r="DY290" s="70"/>
      <c r="DZ290" s="70"/>
      <c r="EA290" s="70"/>
      <c r="EB290" s="70"/>
      <c r="EC290" s="70"/>
      <c r="ED290" s="70"/>
      <c r="EE290" s="70"/>
      <c r="EF290" s="70"/>
      <c r="EG290" s="70"/>
    </row>
    <row r="291" spans="1:137" outlineLevel="1" x14ac:dyDescent="0.2">
      <c r="A291" s="17">
        <v>1</v>
      </c>
      <c r="B291" s="17">
        <v>1</v>
      </c>
      <c r="C291" s="2">
        <v>0.93395968272077168</v>
      </c>
      <c r="D291" s="2">
        <f>B291 - C291</f>
        <v>6.6040317279228322E-2</v>
      </c>
      <c r="E291" s="2">
        <f>2*IF(B291=1,LN(1/C291),LN(1/(1-C291)))</f>
        <v>0.13664401587366878</v>
      </c>
      <c r="F291" s="2">
        <f>SQRT(E291)*SIGN(D291)</f>
        <v>0.36965391364581651</v>
      </c>
      <c r="G291" s="2">
        <f>D291/(SQRT(C291*(1-C291)))</f>
        <v>0.2659135763777159</v>
      </c>
      <c r="H291" s="2">
        <v>2.1979612702447561E-2</v>
      </c>
      <c r="I291" s="2">
        <f>(G291^2/2)*H291/(1-H291)^2</f>
        <v>8.1240997303644747E-4</v>
      </c>
      <c r="J291" s="2">
        <f>G291/SQRT(1-H291)</f>
        <v>0.26888498867533372</v>
      </c>
      <c r="AJ291" s="70"/>
      <c r="AK291" s="70"/>
      <c r="AL291" s="70"/>
      <c r="AM291" s="70"/>
      <c r="AN291" s="70"/>
      <c r="AO291" s="70"/>
      <c r="AP291" s="70"/>
      <c r="AQ291" s="83"/>
      <c r="AR291" s="70"/>
      <c r="AS291" s="70"/>
      <c r="AT291" s="70"/>
      <c r="AU291" s="70">
        <f>1-B291</f>
        <v>0</v>
      </c>
      <c r="AV291" s="70" t="e">
        <f>IF(B291=0,C291,NA())</f>
        <v>#N/A</v>
      </c>
      <c r="AW291" s="70">
        <f>IF(B291=1,C291,NA())</f>
        <v>0.93395968272077168</v>
      </c>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row>
    <row r="292" spans="1:137" outlineLevel="1" x14ac:dyDescent="0.2">
      <c r="A292" s="17">
        <v>2</v>
      </c>
      <c r="B292" s="17">
        <v>0</v>
      </c>
      <c r="C292" s="2">
        <v>0.14731991227547242</v>
      </c>
      <c r="D292" s="2">
        <f t="shared" ref="D292:D355" si="40">B292 - C292</f>
        <v>-0.14731991227547242</v>
      </c>
      <c r="E292" s="2">
        <f t="shared" ref="E292:E355" si="41">2*IF(B292=1,LN(1/C292),LN(1/(1-C292)))</f>
        <v>0.31874169107239941</v>
      </c>
      <c r="F292" s="2">
        <f t="shared" ref="F292:F355" si="42">SQRT(E292)*SIGN(D292)</f>
        <v>-0.56457213097389014</v>
      </c>
      <c r="G292" s="2">
        <f t="shared" ref="G292:G355" si="43">D292/(SQRT(C292*(1-C292)))</f>
        <v>-0.41565945628464079</v>
      </c>
      <c r="H292" s="2">
        <v>2.2793986057664382E-2</v>
      </c>
      <c r="I292" s="2">
        <f t="shared" ref="I292:I355" si="44">(G292^2/2)*H292/(1-H292)^2</f>
        <v>2.0620222676362146E-3</v>
      </c>
      <c r="J292" s="2">
        <f t="shared" ref="J292:J355" si="45">G292/SQRT(1-H292)</f>
        <v>-0.42047927977544564</v>
      </c>
      <c r="AJ292" s="70"/>
      <c r="AK292" s="70"/>
      <c r="AL292" s="70"/>
      <c r="AM292" s="70"/>
      <c r="AN292" s="70"/>
      <c r="AO292" s="70"/>
      <c r="AP292" s="70"/>
      <c r="AQ292" s="83"/>
      <c r="AR292" s="70"/>
      <c r="AS292" s="70"/>
      <c r="AT292" s="70"/>
      <c r="AU292" s="70">
        <f t="shared" ref="AU292:AU355" si="46">1-B292</f>
        <v>1</v>
      </c>
      <c r="AV292" s="70">
        <f t="shared" ref="AV292:AV355" si="47">IF(B292=0,C292,NA())</f>
        <v>0.14731991227547242</v>
      </c>
      <c r="AW292" s="70" t="e">
        <f t="shared" ref="AW292:AW355" si="48">IF(B292=1,C292,NA())</f>
        <v>#N/A</v>
      </c>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70"/>
      <c r="DZ292" s="70"/>
      <c r="EA292" s="70"/>
      <c r="EB292" s="70"/>
      <c r="EC292" s="70"/>
      <c r="ED292" s="70"/>
      <c r="EE292" s="70"/>
      <c r="EF292" s="70"/>
      <c r="EG292" s="70"/>
    </row>
    <row r="293" spans="1:137" outlineLevel="1" x14ac:dyDescent="0.2">
      <c r="A293" s="17">
        <v>3</v>
      </c>
      <c r="B293" s="17">
        <v>1</v>
      </c>
      <c r="C293" s="2">
        <v>0.83545080073840206</v>
      </c>
      <c r="D293" s="2">
        <f t="shared" si="40"/>
        <v>0.16454919926159794</v>
      </c>
      <c r="E293" s="2">
        <f t="shared" si="41"/>
        <v>0.35956763738165715</v>
      </c>
      <c r="F293" s="2">
        <f t="shared" si="42"/>
        <v>0.5996395895716502</v>
      </c>
      <c r="G293" s="2">
        <f t="shared" si="43"/>
        <v>0.44380015218391333</v>
      </c>
      <c r="H293" s="2">
        <v>2.53315957226126E-2</v>
      </c>
      <c r="I293" s="2">
        <f t="shared" si="44"/>
        <v>2.6259936445591093E-3</v>
      </c>
      <c r="J293" s="2">
        <f t="shared" si="45"/>
        <v>0.4495303339584934</v>
      </c>
      <c r="AJ293" s="70"/>
      <c r="AK293" s="70"/>
      <c r="AL293" s="70"/>
      <c r="AM293" s="70"/>
      <c r="AN293" s="70"/>
      <c r="AO293" s="70"/>
      <c r="AP293" s="70"/>
      <c r="AQ293" s="83"/>
      <c r="AR293" s="70"/>
      <c r="AS293" s="70"/>
      <c r="AT293" s="70"/>
      <c r="AU293" s="70">
        <f t="shared" si="46"/>
        <v>0</v>
      </c>
      <c r="AV293" s="70" t="e">
        <f t="shared" si="47"/>
        <v>#N/A</v>
      </c>
      <c r="AW293" s="70">
        <f t="shared" si="48"/>
        <v>0.83545080073840206</v>
      </c>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row>
    <row r="294" spans="1:137" outlineLevel="1" x14ac:dyDescent="0.2">
      <c r="A294" s="17">
        <v>4</v>
      </c>
      <c r="B294" s="17">
        <v>1</v>
      </c>
      <c r="C294" s="2">
        <v>0.96978373228628978</v>
      </c>
      <c r="D294" s="2">
        <f t="shared" si="40"/>
        <v>3.0216267713710221E-2</v>
      </c>
      <c r="E294" s="2">
        <f t="shared" si="41"/>
        <v>6.1364377498139625E-2</v>
      </c>
      <c r="F294" s="2">
        <f t="shared" si="42"/>
        <v>0.24771834307967511</v>
      </c>
      <c r="G294" s="2">
        <f t="shared" si="43"/>
        <v>0.17651554683589354</v>
      </c>
      <c r="H294" s="2">
        <v>1.6156940869124791E-2</v>
      </c>
      <c r="I294" s="2">
        <f t="shared" si="44"/>
        <v>2.6004194914977557E-4</v>
      </c>
      <c r="J294" s="2">
        <f t="shared" si="45"/>
        <v>0.17795903800673421</v>
      </c>
      <c r="AJ294" s="70"/>
      <c r="AK294" s="70"/>
      <c r="AL294" s="70"/>
      <c r="AM294" s="70"/>
      <c r="AN294" s="70"/>
      <c r="AO294" s="70"/>
      <c r="AP294" s="70"/>
      <c r="AQ294" s="83"/>
      <c r="AR294" s="70"/>
      <c r="AS294" s="70"/>
      <c r="AT294" s="70"/>
      <c r="AU294" s="70">
        <f t="shared" si="46"/>
        <v>0</v>
      </c>
      <c r="AV294" s="70" t="e">
        <f t="shared" si="47"/>
        <v>#N/A</v>
      </c>
      <c r="AW294" s="70">
        <f t="shared" si="48"/>
        <v>0.96978373228628978</v>
      </c>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c r="DX294" s="70"/>
      <c r="DY294" s="70"/>
      <c r="DZ294" s="70"/>
      <c r="EA294" s="70"/>
      <c r="EB294" s="70"/>
      <c r="EC294" s="70"/>
      <c r="ED294" s="70"/>
      <c r="EE294" s="70"/>
      <c r="EF294" s="70"/>
      <c r="EG294" s="70"/>
    </row>
    <row r="295" spans="1:137" outlineLevel="1" x14ac:dyDescent="0.2">
      <c r="A295" s="17">
        <v>5</v>
      </c>
      <c r="B295" s="17">
        <v>0</v>
      </c>
      <c r="C295" s="2">
        <v>2.7503268443820037E-2</v>
      </c>
      <c r="D295" s="2">
        <f t="shared" si="40"/>
        <v>-2.7503268443820037E-2</v>
      </c>
      <c r="E295" s="2">
        <f t="shared" si="41"/>
        <v>5.5777128725729513E-2</v>
      </c>
      <c r="F295" s="2">
        <f t="shared" si="42"/>
        <v>-0.23617182034639422</v>
      </c>
      <c r="G295" s="2">
        <f t="shared" si="43"/>
        <v>-0.16816982749032355</v>
      </c>
      <c r="H295" s="2">
        <v>1.4347243134912402E-2</v>
      </c>
      <c r="I295" s="2">
        <f t="shared" si="44"/>
        <v>2.08827042513242E-4</v>
      </c>
      <c r="J295" s="2">
        <f t="shared" si="45"/>
        <v>-0.16938935261239857</v>
      </c>
      <c r="AJ295" s="70"/>
      <c r="AK295" s="70"/>
      <c r="AL295" s="70"/>
      <c r="AM295" s="70"/>
      <c r="AN295" s="70"/>
      <c r="AO295" s="70"/>
      <c r="AP295" s="70"/>
      <c r="AQ295" s="83"/>
      <c r="AR295" s="70"/>
      <c r="AS295" s="70"/>
      <c r="AT295" s="70"/>
      <c r="AU295" s="70">
        <f t="shared" si="46"/>
        <v>1</v>
      </c>
      <c r="AV295" s="70">
        <f t="shared" si="47"/>
        <v>2.7503268443820037E-2</v>
      </c>
      <c r="AW295" s="70" t="e">
        <f t="shared" si="48"/>
        <v>#N/A</v>
      </c>
      <c r="AX295" s="70"/>
      <c r="AY295" s="70"/>
      <c r="AZ295" s="70"/>
      <c r="BA295" s="70"/>
      <c r="BB295" s="70"/>
      <c r="BC295" s="70"/>
      <c r="BD295" s="70"/>
      <c r="BE295" s="70"/>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c r="DX295" s="70"/>
      <c r="DY295" s="70"/>
      <c r="DZ295" s="70"/>
      <c r="EA295" s="70"/>
      <c r="EB295" s="70"/>
      <c r="EC295" s="70"/>
      <c r="ED295" s="70"/>
      <c r="EE295" s="70"/>
      <c r="EF295" s="70"/>
      <c r="EG295" s="70"/>
    </row>
    <row r="296" spans="1:137" outlineLevel="1" x14ac:dyDescent="0.2">
      <c r="A296" s="17">
        <v>6</v>
      </c>
      <c r="B296" s="17">
        <v>1</v>
      </c>
      <c r="C296" s="2">
        <v>0.96663301721415817</v>
      </c>
      <c r="D296" s="2">
        <f t="shared" si="40"/>
        <v>3.3366982785841826E-2</v>
      </c>
      <c r="E296" s="2">
        <f t="shared" si="41"/>
        <v>6.7872724120025416E-2</v>
      </c>
      <c r="F296" s="2">
        <f t="shared" si="42"/>
        <v>0.26052394154861358</v>
      </c>
      <c r="G296" s="2">
        <f t="shared" si="43"/>
        <v>0.18579227645379306</v>
      </c>
      <c r="H296" s="2">
        <v>1.690754018464715E-2</v>
      </c>
      <c r="I296" s="2">
        <f t="shared" si="44"/>
        <v>3.0193747191375922E-4</v>
      </c>
      <c r="J296" s="2">
        <f t="shared" si="45"/>
        <v>0.18738312328977474</v>
      </c>
      <c r="AJ296" s="70"/>
      <c r="AK296" s="70"/>
      <c r="AL296" s="70"/>
      <c r="AM296" s="70"/>
      <c r="AN296" s="70"/>
      <c r="AO296" s="70"/>
      <c r="AP296" s="70"/>
      <c r="AQ296" s="83"/>
      <c r="AR296" s="70"/>
      <c r="AS296" s="70"/>
      <c r="AT296" s="70"/>
      <c r="AU296" s="70">
        <f t="shared" si="46"/>
        <v>0</v>
      </c>
      <c r="AV296" s="70" t="e">
        <f t="shared" si="47"/>
        <v>#N/A</v>
      </c>
      <c r="AW296" s="70">
        <f t="shared" si="48"/>
        <v>0.96663301721415817</v>
      </c>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c r="DX296" s="70"/>
      <c r="DY296" s="70"/>
      <c r="DZ296" s="70"/>
      <c r="EA296" s="70"/>
      <c r="EB296" s="70"/>
      <c r="EC296" s="70"/>
      <c r="ED296" s="70"/>
      <c r="EE296" s="70"/>
      <c r="EF296" s="70"/>
      <c r="EG296" s="70"/>
    </row>
    <row r="297" spans="1:137" outlineLevel="1" x14ac:dyDescent="0.2">
      <c r="A297" s="17">
        <v>7</v>
      </c>
      <c r="B297" s="17">
        <v>1</v>
      </c>
      <c r="C297" s="2">
        <v>0.58107329411693365</v>
      </c>
      <c r="D297" s="2">
        <f t="shared" si="40"/>
        <v>0.41892670588306635</v>
      </c>
      <c r="E297" s="2">
        <f t="shared" si="41"/>
        <v>1.0857567568448407</v>
      </c>
      <c r="F297" s="2">
        <f t="shared" si="42"/>
        <v>1.0419965243919198</v>
      </c>
      <c r="G297" s="2">
        <f t="shared" si="43"/>
        <v>0.84908968592661005</v>
      </c>
      <c r="H297" s="2">
        <v>1.9625699605706034E-2</v>
      </c>
      <c r="I297" s="2">
        <f t="shared" si="44"/>
        <v>7.3606886214339379E-3</v>
      </c>
      <c r="J297" s="2">
        <f t="shared" si="45"/>
        <v>0.85754635715060112</v>
      </c>
      <c r="AJ297" s="70"/>
      <c r="AK297" s="70"/>
      <c r="AL297" s="70"/>
      <c r="AM297" s="70"/>
      <c r="AN297" s="70"/>
      <c r="AO297" s="70"/>
      <c r="AP297" s="70"/>
      <c r="AQ297" s="83"/>
      <c r="AR297" s="70"/>
      <c r="AS297" s="70"/>
      <c r="AT297" s="70"/>
      <c r="AU297" s="70">
        <f t="shared" si="46"/>
        <v>0</v>
      </c>
      <c r="AV297" s="70" t="e">
        <f t="shared" si="47"/>
        <v>#N/A</v>
      </c>
      <c r="AW297" s="70">
        <f t="shared" si="48"/>
        <v>0.58107329411693365</v>
      </c>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row>
    <row r="298" spans="1:137" outlineLevel="1" x14ac:dyDescent="0.2">
      <c r="A298" s="17">
        <v>8</v>
      </c>
      <c r="B298" s="17">
        <v>0</v>
      </c>
      <c r="C298" s="2">
        <v>0.11619641369908798</v>
      </c>
      <c r="D298" s="2">
        <f t="shared" si="40"/>
        <v>-0.11619641369908798</v>
      </c>
      <c r="E298" s="2">
        <f t="shared" si="41"/>
        <v>0.24704085694837497</v>
      </c>
      <c r="F298" s="2">
        <f t="shared" si="42"/>
        <v>-0.49703204821055047</v>
      </c>
      <c r="G298" s="2">
        <f t="shared" si="43"/>
        <v>-0.3625922207871845</v>
      </c>
      <c r="H298" s="2">
        <v>2.2500971012321139E-2</v>
      </c>
      <c r="I298" s="2">
        <f t="shared" si="44"/>
        <v>1.5480164087102379E-3</v>
      </c>
      <c r="J298" s="2">
        <f t="shared" si="45"/>
        <v>-0.36674171789983867</v>
      </c>
      <c r="AJ298" s="70"/>
      <c r="AK298" s="70"/>
      <c r="AL298" s="70"/>
      <c r="AM298" s="70"/>
      <c r="AN298" s="70"/>
      <c r="AO298" s="70"/>
      <c r="AP298" s="70"/>
      <c r="AQ298" s="83"/>
      <c r="AR298" s="70"/>
      <c r="AS298" s="70"/>
      <c r="AT298" s="70"/>
      <c r="AU298" s="70">
        <f t="shared" si="46"/>
        <v>1</v>
      </c>
      <c r="AV298" s="70">
        <f t="shared" si="47"/>
        <v>0.11619641369908798</v>
      </c>
      <c r="AW298" s="70" t="e">
        <f t="shared" si="48"/>
        <v>#N/A</v>
      </c>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row>
    <row r="299" spans="1:137" outlineLevel="1" x14ac:dyDescent="0.2">
      <c r="A299" s="17">
        <v>9</v>
      </c>
      <c r="B299" s="17">
        <v>1</v>
      </c>
      <c r="C299" s="2">
        <v>0.67632708336690561</v>
      </c>
      <c r="D299" s="2">
        <f t="shared" si="40"/>
        <v>0.32367291663309439</v>
      </c>
      <c r="E299" s="2">
        <f t="shared" si="41"/>
        <v>0.78215693764582539</v>
      </c>
      <c r="F299" s="2">
        <f t="shared" si="42"/>
        <v>0.8843963690822263</v>
      </c>
      <c r="G299" s="2">
        <f t="shared" si="43"/>
        <v>0.69179081438266932</v>
      </c>
      <c r="H299" s="2">
        <v>2.1791697032600931E-2</v>
      </c>
      <c r="I299" s="2">
        <f t="shared" si="44"/>
        <v>5.4493907399922352E-3</v>
      </c>
      <c r="J299" s="2">
        <f t="shared" si="45"/>
        <v>0.69945393658209187</v>
      </c>
      <c r="AJ299" s="70"/>
      <c r="AK299" s="70"/>
      <c r="AL299" s="70"/>
      <c r="AM299" s="70"/>
      <c r="AN299" s="70"/>
      <c r="AO299" s="70"/>
      <c r="AP299" s="70"/>
      <c r="AQ299" s="83"/>
      <c r="AR299" s="70"/>
      <c r="AS299" s="70"/>
      <c r="AT299" s="70"/>
      <c r="AU299" s="70">
        <f t="shared" si="46"/>
        <v>0</v>
      </c>
      <c r="AV299" s="70" t="e">
        <f t="shared" si="47"/>
        <v>#N/A</v>
      </c>
      <c r="AW299" s="70">
        <f t="shared" si="48"/>
        <v>0.67632708336690561</v>
      </c>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c r="EB299" s="70"/>
      <c r="EC299" s="70"/>
      <c r="ED299" s="70"/>
      <c r="EE299" s="70"/>
      <c r="EF299" s="70"/>
      <c r="EG299" s="70"/>
    </row>
    <row r="300" spans="1:137" outlineLevel="1" x14ac:dyDescent="0.2">
      <c r="A300" s="17">
        <v>10</v>
      </c>
      <c r="B300" s="17">
        <v>1</v>
      </c>
      <c r="C300" s="2">
        <v>0.36339994235213879</v>
      </c>
      <c r="D300" s="2">
        <f t="shared" si="40"/>
        <v>0.63660005764786121</v>
      </c>
      <c r="E300" s="2">
        <f t="shared" si="41"/>
        <v>2.0245025633096194</v>
      </c>
      <c r="F300" s="2">
        <f t="shared" si="42"/>
        <v>1.422850154903748</v>
      </c>
      <c r="G300" s="2">
        <f t="shared" si="43"/>
        <v>1.3235516987107203</v>
      </c>
      <c r="H300" s="2">
        <v>1.9278956066364653E-2</v>
      </c>
      <c r="I300" s="2">
        <f t="shared" si="44"/>
        <v>1.7556759049205267E-2</v>
      </c>
      <c r="J300" s="2">
        <f t="shared" si="45"/>
        <v>1.336497536580479</v>
      </c>
      <c r="AJ300" s="70"/>
      <c r="AK300" s="70"/>
      <c r="AL300" s="70"/>
      <c r="AM300" s="70"/>
      <c r="AN300" s="70"/>
      <c r="AO300" s="70"/>
      <c r="AP300" s="70"/>
      <c r="AQ300" s="83"/>
      <c r="AR300" s="70"/>
      <c r="AS300" s="70"/>
      <c r="AT300" s="70"/>
      <c r="AU300" s="70">
        <f t="shared" si="46"/>
        <v>0</v>
      </c>
      <c r="AV300" s="70" t="e">
        <f t="shared" si="47"/>
        <v>#N/A</v>
      </c>
      <c r="AW300" s="70">
        <f t="shared" si="48"/>
        <v>0.36339994235213879</v>
      </c>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row>
    <row r="301" spans="1:137" outlineLevel="1" x14ac:dyDescent="0.2">
      <c r="A301" s="17">
        <v>11</v>
      </c>
      <c r="B301" s="17">
        <v>1</v>
      </c>
      <c r="C301" s="2">
        <v>0.9906578516214225</v>
      </c>
      <c r="D301" s="2">
        <f t="shared" si="40"/>
        <v>9.3421483785774972E-3</v>
      </c>
      <c r="E301" s="2">
        <f t="shared" si="41"/>
        <v>1.8772119892615676E-2</v>
      </c>
      <c r="F301" s="2">
        <f t="shared" si="42"/>
        <v>0.13701138599625826</v>
      </c>
      <c r="G301" s="2">
        <f t="shared" si="43"/>
        <v>9.7109459614747776E-2</v>
      </c>
      <c r="H301" s="2">
        <v>8.5805501169084128E-3</v>
      </c>
      <c r="I301" s="2">
        <f t="shared" si="44"/>
        <v>4.1161703686140161E-5</v>
      </c>
      <c r="J301" s="2">
        <f t="shared" si="45"/>
        <v>9.7528786385958161E-2</v>
      </c>
      <c r="AJ301" s="70"/>
      <c r="AK301" s="70"/>
      <c r="AL301" s="70"/>
      <c r="AM301" s="70"/>
      <c r="AN301" s="70"/>
      <c r="AO301" s="70"/>
      <c r="AP301" s="70"/>
      <c r="AQ301" s="83"/>
      <c r="AR301" s="70"/>
      <c r="AS301" s="70"/>
      <c r="AT301" s="70"/>
      <c r="AU301" s="70">
        <f t="shared" si="46"/>
        <v>0</v>
      </c>
      <c r="AV301" s="70" t="e">
        <f t="shared" si="47"/>
        <v>#N/A</v>
      </c>
      <c r="AW301" s="70">
        <f t="shared" si="48"/>
        <v>0.9906578516214225</v>
      </c>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c r="DX301" s="70"/>
      <c r="DY301" s="70"/>
      <c r="DZ301" s="70"/>
      <c r="EA301" s="70"/>
      <c r="EB301" s="70"/>
      <c r="EC301" s="70"/>
      <c r="ED301" s="70"/>
      <c r="EE301" s="70"/>
      <c r="EF301" s="70"/>
      <c r="EG301" s="70"/>
    </row>
    <row r="302" spans="1:137" outlineLevel="1" x14ac:dyDescent="0.2">
      <c r="A302" s="17">
        <v>12</v>
      </c>
      <c r="B302" s="17">
        <v>0</v>
      </c>
      <c r="C302" s="2">
        <v>8.0267706102111661E-2</v>
      </c>
      <c r="D302" s="2">
        <f t="shared" si="40"/>
        <v>-8.0267706102111661E-2</v>
      </c>
      <c r="E302" s="2">
        <f t="shared" si="41"/>
        <v>0.16734527235393873</v>
      </c>
      <c r="F302" s="2">
        <f t="shared" si="42"/>
        <v>-0.40907856501403095</v>
      </c>
      <c r="G302" s="2">
        <f t="shared" si="43"/>
        <v>-0.29541987361847161</v>
      </c>
      <c r="H302" s="2">
        <v>2.112848222228763E-2</v>
      </c>
      <c r="I302" s="2">
        <f t="shared" si="44"/>
        <v>9.622021803221035E-4</v>
      </c>
      <c r="J302" s="2">
        <f t="shared" si="45"/>
        <v>-0.29859110225536789</v>
      </c>
      <c r="AJ302" s="70"/>
      <c r="AK302" s="70"/>
      <c r="AL302" s="70"/>
      <c r="AM302" s="70"/>
      <c r="AN302" s="70"/>
      <c r="AO302" s="70"/>
      <c r="AP302" s="70"/>
      <c r="AQ302" s="83"/>
      <c r="AR302" s="70"/>
      <c r="AS302" s="70"/>
      <c r="AT302" s="70"/>
      <c r="AU302" s="70">
        <f t="shared" si="46"/>
        <v>1</v>
      </c>
      <c r="AV302" s="70">
        <f t="shared" si="47"/>
        <v>8.0267706102111661E-2</v>
      </c>
      <c r="AW302" s="70" t="e">
        <f t="shared" si="48"/>
        <v>#N/A</v>
      </c>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c r="DX302" s="70"/>
      <c r="DY302" s="70"/>
      <c r="DZ302" s="70"/>
      <c r="EA302" s="70"/>
      <c r="EB302" s="70"/>
      <c r="EC302" s="70"/>
      <c r="ED302" s="70"/>
      <c r="EE302" s="70"/>
      <c r="EF302" s="70"/>
      <c r="EG302" s="70"/>
    </row>
    <row r="303" spans="1:137" outlineLevel="1" x14ac:dyDescent="0.2">
      <c r="A303" s="17">
        <v>13</v>
      </c>
      <c r="B303" s="17">
        <v>0</v>
      </c>
      <c r="C303" s="2">
        <v>5.6554661354479265E-2</v>
      </c>
      <c r="D303" s="2">
        <f t="shared" si="40"/>
        <v>-5.6554661354479265E-2</v>
      </c>
      <c r="E303" s="2">
        <f t="shared" si="41"/>
        <v>0.1164337010294894</v>
      </c>
      <c r="F303" s="2">
        <f t="shared" si="42"/>
        <v>-0.34122382834363929</v>
      </c>
      <c r="G303" s="2">
        <f t="shared" si="43"/>
        <v>-0.24483631342284026</v>
      </c>
      <c r="H303" s="2">
        <v>1.9149206444911866E-2</v>
      </c>
      <c r="I303" s="2">
        <f t="shared" si="44"/>
        <v>5.9657706494131984E-4</v>
      </c>
      <c r="J303" s="2">
        <f t="shared" si="45"/>
        <v>-0.24721473771928767</v>
      </c>
      <c r="AJ303" s="70"/>
      <c r="AK303" s="70"/>
      <c r="AL303" s="70"/>
      <c r="AM303" s="70"/>
      <c r="AN303" s="70"/>
      <c r="AO303" s="70"/>
      <c r="AP303" s="70"/>
      <c r="AQ303" s="83"/>
      <c r="AR303" s="70"/>
      <c r="AS303" s="70"/>
      <c r="AT303" s="70"/>
      <c r="AU303" s="70">
        <f t="shared" si="46"/>
        <v>1</v>
      </c>
      <c r="AV303" s="70">
        <f t="shared" si="47"/>
        <v>5.6554661354479265E-2</v>
      </c>
      <c r="AW303" s="70" t="e">
        <f t="shared" si="48"/>
        <v>#N/A</v>
      </c>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c r="EB303" s="70"/>
      <c r="EC303" s="70"/>
      <c r="ED303" s="70"/>
      <c r="EE303" s="70"/>
      <c r="EF303" s="70"/>
      <c r="EG303" s="70"/>
    </row>
    <row r="304" spans="1:137" outlineLevel="1" x14ac:dyDescent="0.2">
      <c r="A304" s="17">
        <v>14</v>
      </c>
      <c r="B304" s="17">
        <v>0</v>
      </c>
      <c r="C304" s="2">
        <v>0.43700753444835833</v>
      </c>
      <c r="D304" s="2">
        <f t="shared" si="40"/>
        <v>-0.43700753444835833</v>
      </c>
      <c r="E304" s="2">
        <f t="shared" si="41"/>
        <v>1.14897806722228</v>
      </c>
      <c r="F304" s="2">
        <f t="shared" si="42"/>
        <v>-1.0719039449606853</v>
      </c>
      <c r="G304" s="2">
        <f t="shared" si="43"/>
        <v>-0.88103501911058457</v>
      </c>
      <c r="H304" s="2">
        <v>1.8606604235690199E-2</v>
      </c>
      <c r="I304" s="2">
        <f t="shared" si="44"/>
        <v>7.4978578815476709E-3</v>
      </c>
      <c r="J304" s="2">
        <f t="shared" si="45"/>
        <v>-0.88934773925267752</v>
      </c>
      <c r="AJ304" s="70"/>
      <c r="AK304" s="70"/>
      <c r="AL304" s="70"/>
      <c r="AM304" s="70"/>
      <c r="AN304" s="70"/>
      <c r="AO304" s="70"/>
      <c r="AP304" s="70"/>
      <c r="AQ304" s="83"/>
      <c r="AR304" s="70"/>
      <c r="AS304" s="70"/>
      <c r="AT304" s="70"/>
      <c r="AU304" s="70">
        <f t="shared" si="46"/>
        <v>1</v>
      </c>
      <c r="AV304" s="70">
        <f t="shared" si="47"/>
        <v>0.43700753444835833</v>
      </c>
      <c r="AW304" s="70" t="e">
        <f t="shared" si="48"/>
        <v>#N/A</v>
      </c>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c r="EB304" s="70"/>
      <c r="EC304" s="70"/>
      <c r="ED304" s="70"/>
      <c r="EE304" s="70"/>
      <c r="EF304" s="70"/>
      <c r="EG304" s="70"/>
    </row>
    <row r="305" spans="1:137" outlineLevel="1" x14ac:dyDescent="0.2">
      <c r="A305" s="17">
        <v>15</v>
      </c>
      <c r="B305" s="17">
        <v>1</v>
      </c>
      <c r="C305" s="2">
        <v>0.17994061604659714</v>
      </c>
      <c r="D305" s="2">
        <f t="shared" si="40"/>
        <v>0.82005938395340283</v>
      </c>
      <c r="E305" s="2">
        <f t="shared" si="41"/>
        <v>3.4302567867534446</v>
      </c>
      <c r="F305" s="2">
        <f t="shared" si="42"/>
        <v>1.8520952423548429</v>
      </c>
      <c r="G305" s="2">
        <f t="shared" si="43"/>
        <v>2.1348042061267045</v>
      </c>
      <c r="H305" s="2">
        <v>2.2600587873815629E-2</v>
      </c>
      <c r="I305" s="2">
        <f t="shared" si="44"/>
        <v>5.3909051771586156E-2</v>
      </c>
      <c r="J305" s="2">
        <f t="shared" si="45"/>
        <v>2.1593448889688571</v>
      </c>
      <c r="AJ305" s="70"/>
      <c r="AK305" s="70"/>
      <c r="AL305" s="70"/>
      <c r="AM305" s="70"/>
      <c r="AN305" s="70"/>
      <c r="AO305" s="70"/>
      <c r="AP305" s="70"/>
      <c r="AQ305" s="83"/>
      <c r="AR305" s="70"/>
      <c r="AS305" s="70"/>
      <c r="AT305" s="70"/>
      <c r="AU305" s="70">
        <f t="shared" si="46"/>
        <v>0</v>
      </c>
      <c r="AV305" s="70" t="e">
        <f t="shared" si="47"/>
        <v>#N/A</v>
      </c>
      <c r="AW305" s="70">
        <f t="shared" si="48"/>
        <v>0.17994061604659714</v>
      </c>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row>
    <row r="306" spans="1:137" outlineLevel="1" x14ac:dyDescent="0.2">
      <c r="A306" s="17">
        <v>16</v>
      </c>
      <c r="B306" s="17">
        <v>1</v>
      </c>
      <c r="C306" s="2">
        <v>0.86171919848824297</v>
      </c>
      <c r="D306" s="2">
        <f t="shared" si="40"/>
        <v>0.13828080151175703</v>
      </c>
      <c r="E306" s="2">
        <f t="shared" si="41"/>
        <v>0.29765163440499609</v>
      </c>
      <c r="F306" s="2">
        <f t="shared" si="42"/>
        <v>0.54557459105515183</v>
      </c>
      <c r="G306" s="2">
        <f t="shared" si="43"/>
        <v>0.40058811458532095</v>
      </c>
      <c r="H306" s="2">
        <v>2.5298980289430811E-2</v>
      </c>
      <c r="I306" s="2">
        <f t="shared" si="44"/>
        <v>2.1366151304716943E-3</v>
      </c>
      <c r="J306" s="2">
        <f t="shared" si="45"/>
        <v>0.40575356984236355</v>
      </c>
      <c r="AJ306" s="70"/>
      <c r="AK306" s="70"/>
      <c r="AL306" s="70"/>
      <c r="AM306" s="70"/>
      <c r="AN306" s="70"/>
      <c r="AO306" s="70"/>
      <c r="AP306" s="70"/>
      <c r="AQ306" s="83"/>
      <c r="AR306" s="70"/>
      <c r="AS306" s="70"/>
      <c r="AT306" s="70"/>
      <c r="AU306" s="70">
        <f t="shared" si="46"/>
        <v>0</v>
      </c>
      <c r="AV306" s="70" t="e">
        <f t="shared" si="47"/>
        <v>#N/A</v>
      </c>
      <c r="AW306" s="70">
        <f t="shared" si="48"/>
        <v>0.86171919848824297</v>
      </c>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c r="EB306" s="70"/>
      <c r="EC306" s="70"/>
      <c r="ED306" s="70"/>
      <c r="EE306" s="70"/>
      <c r="EF306" s="70"/>
      <c r="EG306" s="70"/>
    </row>
    <row r="307" spans="1:137" outlineLevel="1" x14ac:dyDescent="0.2">
      <c r="A307" s="17">
        <v>17</v>
      </c>
      <c r="B307" s="17">
        <v>1</v>
      </c>
      <c r="C307" s="2">
        <v>0.98893781197758757</v>
      </c>
      <c r="D307" s="2">
        <f t="shared" si="40"/>
        <v>1.1062188022412434E-2</v>
      </c>
      <c r="E307" s="2">
        <f t="shared" si="41"/>
        <v>2.2247658071077519E-2</v>
      </c>
      <c r="F307" s="2">
        <f t="shared" si="42"/>
        <v>0.14915648853160066</v>
      </c>
      <c r="G307" s="2">
        <f t="shared" si="43"/>
        <v>0.10576355171223405</v>
      </c>
      <c r="H307" s="2">
        <v>9.4828553149067067E-3</v>
      </c>
      <c r="I307" s="2">
        <f t="shared" si="44"/>
        <v>5.4057653220697674E-5</v>
      </c>
      <c r="J307" s="2">
        <f t="shared" si="45"/>
        <v>0.10626861688861623</v>
      </c>
      <c r="AJ307" s="70"/>
      <c r="AK307" s="70"/>
      <c r="AL307" s="70"/>
      <c r="AM307" s="70"/>
      <c r="AN307" s="70"/>
      <c r="AO307" s="70"/>
      <c r="AP307" s="70"/>
      <c r="AQ307" s="83"/>
      <c r="AR307" s="70"/>
      <c r="AS307" s="70"/>
      <c r="AT307" s="70"/>
      <c r="AU307" s="70">
        <f t="shared" si="46"/>
        <v>0</v>
      </c>
      <c r="AV307" s="70" t="e">
        <f t="shared" si="47"/>
        <v>#N/A</v>
      </c>
      <c r="AW307" s="70">
        <f t="shared" si="48"/>
        <v>0.98893781197758757</v>
      </c>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c r="EB307" s="70"/>
      <c r="EC307" s="70"/>
      <c r="ED307" s="70"/>
      <c r="EE307" s="70"/>
      <c r="EF307" s="70"/>
      <c r="EG307" s="70"/>
    </row>
    <row r="308" spans="1:137" outlineLevel="1" x14ac:dyDescent="0.2">
      <c r="A308" s="17">
        <v>18</v>
      </c>
      <c r="B308" s="17">
        <v>0</v>
      </c>
      <c r="C308" s="2">
        <v>0.79438894889756317</v>
      </c>
      <c r="D308" s="2">
        <f t="shared" si="40"/>
        <v>-0.79438894889756317</v>
      </c>
      <c r="E308" s="2">
        <f t="shared" si="41"/>
        <v>3.1635379926947995</v>
      </c>
      <c r="F308" s="2">
        <f t="shared" si="42"/>
        <v>-1.778633743268917</v>
      </c>
      <c r="G308" s="2">
        <f t="shared" si="43"/>
        <v>-1.9655919747594988</v>
      </c>
      <c r="H308" s="2">
        <v>2.4798715051261883E-2</v>
      </c>
      <c r="I308" s="2">
        <f t="shared" si="44"/>
        <v>5.0372950971827174E-2</v>
      </c>
      <c r="J308" s="2">
        <f t="shared" si="45"/>
        <v>-1.9904269251262949</v>
      </c>
      <c r="AJ308" s="70"/>
      <c r="AK308" s="70"/>
      <c r="AL308" s="70"/>
      <c r="AM308" s="70"/>
      <c r="AN308" s="70"/>
      <c r="AO308" s="70"/>
      <c r="AP308" s="70"/>
      <c r="AQ308" s="83"/>
      <c r="AR308" s="70"/>
      <c r="AS308" s="70"/>
      <c r="AT308" s="70"/>
      <c r="AU308" s="70">
        <f t="shared" si="46"/>
        <v>1</v>
      </c>
      <c r="AV308" s="70">
        <f t="shared" si="47"/>
        <v>0.79438894889756317</v>
      </c>
      <c r="AW308" s="70" t="e">
        <f t="shared" si="48"/>
        <v>#N/A</v>
      </c>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c r="EB308" s="70"/>
      <c r="EC308" s="70"/>
      <c r="ED308" s="70"/>
      <c r="EE308" s="70"/>
      <c r="EF308" s="70"/>
      <c r="EG308" s="70"/>
    </row>
    <row r="309" spans="1:137" outlineLevel="1" x14ac:dyDescent="0.2">
      <c r="A309" s="17">
        <v>19</v>
      </c>
      <c r="B309" s="17">
        <v>0</v>
      </c>
      <c r="C309" s="2">
        <v>9.094689061199511E-2</v>
      </c>
      <c r="D309" s="2">
        <f t="shared" si="40"/>
        <v>-9.094689061199511E-2</v>
      </c>
      <c r="E309" s="2">
        <f t="shared" si="41"/>
        <v>0.1907035206839561</v>
      </c>
      <c r="F309" s="2">
        <f t="shared" si="42"/>
        <v>-0.43669614228197173</v>
      </c>
      <c r="G309" s="2">
        <f t="shared" si="43"/>
        <v>-0.31630007831543339</v>
      </c>
      <c r="H309" s="2">
        <v>2.1695518591300336E-2</v>
      </c>
      <c r="I309" s="2">
        <f t="shared" si="44"/>
        <v>1.1339412468426412E-3</v>
      </c>
      <c r="J309" s="2">
        <f t="shared" si="45"/>
        <v>-0.31978808475180864</v>
      </c>
      <c r="AJ309" s="70"/>
      <c r="AK309" s="70"/>
      <c r="AL309" s="70"/>
      <c r="AM309" s="70"/>
      <c r="AN309" s="70"/>
      <c r="AO309" s="70"/>
      <c r="AP309" s="70"/>
      <c r="AQ309" s="83"/>
      <c r="AR309" s="70"/>
      <c r="AS309" s="70"/>
      <c r="AT309" s="70"/>
      <c r="AU309" s="70">
        <f t="shared" si="46"/>
        <v>1</v>
      </c>
      <c r="AV309" s="70">
        <f t="shared" si="47"/>
        <v>9.094689061199511E-2</v>
      </c>
      <c r="AW309" s="70" t="e">
        <f t="shared" si="48"/>
        <v>#N/A</v>
      </c>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c r="EB309" s="70"/>
      <c r="EC309" s="70"/>
      <c r="ED309" s="70"/>
      <c r="EE309" s="70"/>
      <c r="EF309" s="70"/>
      <c r="EG309" s="70"/>
    </row>
    <row r="310" spans="1:137" outlineLevel="1" x14ac:dyDescent="0.2">
      <c r="A310" s="17">
        <v>20</v>
      </c>
      <c r="B310" s="17">
        <v>1</v>
      </c>
      <c r="C310" s="2">
        <v>0.39554799410802871</v>
      </c>
      <c r="D310" s="2">
        <f t="shared" si="40"/>
        <v>0.60445200589197134</v>
      </c>
      <c r="E310" s="2">
        <f t="shared" si="41"/>
        <v>1.8549662973480445</v>
      </c>
      <c r="F310" s="2">
        <f t="shared" si="42"/>
        <v>1.3619714744986564</v>
      </c>
      <c r="G310" s="2">
        <f t="shared" si="43"/>
        <v>1.2361788768534614</v>
      </c>
      <c r="H310" s="2">
        <v>1.8893989070012093E-2</v>
      </c>
      <c r="I310" s="2">
        <f t="shared" si="44"/>
        <v>1.4997691906837054E-2</v>
      </c>
      <c r="J310" s="2">
        <f t="shared" si="45"/>
        <v>1.2480251868205356</v>
      </c>
      <c r="AJ310" s="70"/>
      <c r="AK310" s="70"/>
      <c r="AL310" s="70"/>
      <c r="AM310" s="70"/>
      <c r="AN310" s="70"/>
      <c r="AO310" s="70"/>
      <c r="AP310" s="70"/>
      <c r="AQ310" s="83"/>
      <c r="AR310" s="70"/>
      <c r="AS310" s="70"/>
      <c r="AT310" s="70"/>
      <c r="AU310" s="70">
        <f t="shared" si="46"/>
        <v>0</v>
      </c>
      <c r="AV310" s="70" t="e">
        <f t="shared" si="47"/>
        <v>#N/A</v>
      </c>
      <c r="AW310" s="70">
        <f t="shared" si="48"/>
        <v>0.39554799410802871</v>
      </c>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c r="EB310" s="70"/>
      <c r="EC310" s="70"/>
      <c r="ED310" s="70"/>
      <c r="EE310" s="70"/>
      <c r="EF310" s="70"/>
      <c r="EG310" s="70"/>
    </row>
    <row r="311" spans="1:137" outlineLevel="1" x14ac:dyDescent="0.2">
      <c r="A311" s="17">
        <v>21</v>
      </c>
      <c r="B311" s="17">
        <v>1</v>
      </c>
      <c r="C311" s="2">
        <v>0.43700753444835833</v>
      </c>
      <c r="D311" s="2">
        <f t="shared" si="40"/>
        <v>0.56299246555164162</v>
      </c>
      <c r="E311" s="2">
        <f t="shared" si="41"/>
        <v>1.6556096854691706</v>
      </c>
      <c r="F311" s="2">
        <f t="shared" si="42"/>
        <v>1.2867049721941586</v>
      </c>
      <c r="G311" s="2">
        <f t="shared" si="43"/>
        <v>1.1350286632301085</v>
      </c>
      <c r="H311" s="2">
        <v>1.8606604235690199E-2</v>
      </c>
      <c r="I311" s="2">
        <f t="shared" si="44"/>
        <v>1.2444129457648214E-2</v>
      </c>
      <c r="J311" s="2">
        <f t="shared" si="45"/>
        <v>1.1457378580135471</v>
      </c>
      <c r="AJ311" s="70"/>
      <c r="AK311" s="70"/>
      <c r="AL311" s="70"/>
      <c r="AM311" s="70"/>
      <c r="AN311" s="70"/>
      <c r="AO311" s="70"/>
      <c r="AP311" s="70"/>
      <c r="AQ311" s="83"/>
      <c r="AR311" s="70"/>
      <c r="AS311" s="70"/>
      <c r="AT311" s="70"/>
      <c r="AU311" s="70">
        <f t="shared" si="46"/>
        <v>0</v>
      </c>
      <c r="AV311" s="70" t="e">
        <f t="shared" si="47"/>
        <v>#N/A</v>
      </c>
      <c r="AW311" s="70">
        <f t="shared" si="48"/>
        <v>0.43700753444835833</v>
      </c>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c r="EB311" s="70"/>
      <c r="EC311" s="70"/>
      <c r="ED311" s="70"/>
      <c r="EE311" s="70"/>
      <c r="EF311" s="70"/>
      <c r="EG311" s="70"/>
    </row>
    <row r="312" spans="1:137" outlineLevel="1" x14ac:dyDescent="0.2">
      <c r="A312" s="17">
        <v>22</v>
      </c>
      <c r="B312" s="17">
        <v>1</v>
      </c>
      <c r="C312" s="2">
        <v>0.91228392209626319</v>
      </c>
      <c r="D312" s="2">
        <f t="shared" si="40"/>
        <v>8.7716077903736811E-2</v>
      </c>
      <c r="E312" s="2">
        <f t="shared" si="41"/>
        <v>0.18360803853843699</v>
      </c>
      <c r="F312" s="2">
        <f t="shared" si="42"/>
        <v>0.42849508578096551</v>
      </c>
      <c r="G312" s="2">
        <f t="shared" si="43"/>
        <v>0.31008059719247527</v>
      </c>
      <c r="H312" s="2">
        <v>2.371575703837428E-2</v>
      </c>
      <c r="I312" s="2">
        <f t="shared" si="44"/>
        <v>1.1961995109042876E-3</v>
      </c>
      <c r="J312" s="2">
        <f t="shared" si="45"/>
        <v>0.31382421548234712</v>
      </c>
      <c r="AJ312" s="70"/>
      <c r="AK312" s="70"/>
      <c r="AL312" s="70"/>
      <c r="AM312" s="70"/>
      <c r="AN312" s="70"/>
      <c r="AO312" s="70"/>
      <c r="AP312" s="70"/>
      <c r="AQ312" s="83"/>
      <c r="AR312" s="70"/>
      <c r="AS312" s="70"/>
      <c r="AT312" s="70"/>
      <c r="AU312" s="70">
        <f t="shared" si="46"/>
        <v>0</v>
      </c>
      <c r="AV312" s="70" t="e">
        <f t="shared" si="47"/>
        <v>#N/A</v>
      </c>
      <c r="AW312" s="70">
        <f t="shared" si="48"/>
        <v>0.91228392209626319</v>
      </c>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row>
    <row r="313" spans="1:137" outlineLevel="1" x14ac:dyDescent="0.2">
      <c r="A313" s="17">
        <v>23</v>
      </c>
      <c r="B313" s="17">
        <v>0</v>
      </c>
      <c r="C313" s="2">
        <v>0.22381432891113526</v>
      </c>
      <c r="D313" s="2">
        <f t="shared" si="40"/>
        <v>-0.22381432891113526</v>
      </c>
      <c r="E313" s="2">
        <f t="shared" si="41"/>
        <v>0.50672704110315281</v>
      </c>
      <c r="F313" s="2">
        <f t="shared" si="42"/>
        <v>-0.71184762491923281</v>
      </c>
      <c r="G313" s="2">
        <f t="shared" si="43"/>
        <v>-0.53698373716452752</v>
      </c>
      <c r="H313" s="2">
        <v>2.191160138624761E-2</v>
      </c>
      <c r="I313" s="2">
        <f t="shared" si="44"/>
        <v>3.3022517107630153E-3</v>
      </c>
      <c r="J313" s="2">
        <f t="shared" si="45"/>
        <v>-0.54296530474274485</v>
      </c>
      <c r="AJ313" s="70"/>
      <c r="AK313" s="70"/>
      <c r="AL313" s="70"/>
      <c r="AM313" s="70"/>
      <c r="AN313" s="70"/>
      <c r="AO313" s="70"/>
      <c r="AP313" s="70"/>
      <c r="AQ313" s="83"/>
      <c r="AR313" s="70"/>
      <c r="AS313" s="70"/>
      <c r="AT313" s="70"/>
      <c r="AU313" s="70">
        <f t="shared" si="46"/>
        <v>1</v>
      </c>
      <c r="AV313" s="70">
        <f t="shared" si="47"/>
        <v>0.22381432891113526</v>
      </c>
      <c r="AW313" s="70" t="e">
        <f t="shared" si="48"/>
        <v>#N/A</v>
      </c>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c r="EB313" s="70"/>
      <c r="EC313" s="70"/>
      <c r="ED313" s="70"/>
      <c r="EE313" s="70"/>
      <c r="EF313" s="70"/>
      <c r="EG313" s="70"/>
    </row>
    <row r="314" spans="1:137" outlineLevel="1" x14ac:dyDescent="0.2">
      <c r="A314" s="17">
        <v>24</v>
      </c>
      <c r="B314" s="17">
        <v>1</v>
      </c>
      <c r="C314" s="2">
        <v>0.83070260949738561</v>
      </c>
      <c r="D314" s="2">
        <f t="shared" si="40"/>
        <v>0.16929739050261439</v>
      </c>
      <c r="E314" s="2">
        <f t="shared" si="41"/>
        <v>0.37096683763720045</v>
      </c>
      <c r="F314" s="2">
        <f t="shared" si="42"/>
        <v>0.60907047017336213</v>
      </c>
      <c r="G314" s="2">
        <f t="shared" si="43"/>
        <v>0.45144239851781198</v>
      </c>
      <c r="H314" s="2">
        <v>2.5300612622377368E-2</v>
      </c>
      <c r="I314" s="2">
        <f t="shared" si="44"/>
        <v>2.7137156841009033E-3</v>
      </c>
      <c r="J314" s="2">
        <f t="shared" si="45"/>
        <v>0.45726398634610993</v>
      </c>
      <c r="AJ314" s="70"/>
      <c r="AK314" s="70"/>
      <c r="AL314" s="70"/>
      <c r="AM314" s="70"/>
      <c r="AN314" s="70"/>
      <c r="AO314" s="70"/>
      <c r="AP314" s="70"/>
      <c r="AQ314" s="83"/>
      <c r="AR314" s="70"/>
      <c r="AS314" s="70"/>
      <c r="AT314" s="70"/>
      <c r="AU314" s="70">
        <f t="shared" si="46"/>
        <v>0</v>
      </c>
      <c r="AV314" s="70" t="e">
        <f t="shared" si="47"/>
        <v>#N/A</v>
      </c>
      <c r="AW314" s="70">
        <f t="shared" si="48"/>
        <v>0.83070260949738561</v>
      </c>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c r="DX314" s="70"/>
      <c r="DY314" s="70"/>
      <c r="DZ314" s="70"/>
      <c r="EA314" s="70"/>
      <c r="EB314" s="70"/>
      <c r="EC314" s="70"/>
      <c r="ED314" s="70"/>
      <c r="EE314" s="70"/>
      <c r="EF314" s="70"/>
      <c r="EG314" s="70"/>
    </row>
    <row r="315" spans="1:137" outlineLevel="1" x14ac:dyDescent="0.2">
      <c r="A315" s="17">
        <v>25</v>
      </c>
      <c r="B315" s="17">
        <v>0</v>
      </c>
      <c r="C315" s="2">
        <v>0.16065840883386964</v>
      </c>
      <c r="D315" s="2">
        <f t="shared" si="40"/>
        <v>-0.16065840883386964</v>
      </c>
      <c r="E315" s="2">
        <f t="shared" si="41"/>
        <v>0.35027502906528102</v>
      </c>
      <c r="F315" s="2">
        <f t="shared" si="42"/>
        <v>-0.59184037464951733</v>
      </c>
      <c r="G315" s="2">
        <f t="shared" si="43"/>
        <v>-0.43750433317053167</v>
      </c>
      <c r="H315" s="2">
        <v>2.2762017091594134E-2</v>
      </c>
      <c r="I315" s="2">
        <f t="shared" si="44"/>
        <v>2.2811024434965486E-3</v>
      </c>
      <c r="J315" s="2">
        <f t="shared" si="45"/>
        <v>-0.4425702220488536</v>
      </c>
      <c r="AJ315" s="70"/>
      <c r="AK315" s="70"/>
      <c r="AL315" s="70"/>
      <c r="AM315" s="70"/>
      <c r="AN315" s="70"/>
      <c r="AO315" s="70"/>
      <c r="AP315" s="70"/>
      <c r="AQ315" s="83"/>
      <c r="AR315" s="70"/>
      <c r="AS315" s="70"/>
      <c r="AT315" s="70"/>
      <c r="AU315" s="70">
        <f t="shared" si="46"/>
        <v>1</v>
      </c>
      <c r="AV315" s="70">
        <f t="shared" si="47"/>
        <v>0.16065840883386964</v>
      </c>
      <c r="AW315" s="70" t="e">
        <f t="shared" si="48"/>
        <v>#N/A</v>
      </c>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c r="DX315" s="70"/>
      <c r="DY315" s="70"/>
      <c r="DZ315" s="70"/>
      <c r="EA315" s="70"/>
      <c r="EB315" s="70"/>
      <c r="EC315" s="70"/>
      <c r="ED315" s="70"/>
      <c r="EE315" s="70"/>
      <c r="EF315" s="70"/>
      <c r="EG315" s="70"/>
    </row>
    <row r="316" spans="1:137" outlineLevel="1" x14ac:dyDescent="0.2">
      <c r="A316" s="17">
        <v>26</v>
      </c>
      <c r="B316" s="17">
        <v>0</v>
      </c>
      <c r="C316" s="2">
        <v>0.91228392209626319</v>
      </c>
      <c r="D316" s="2">
        <f t="shared" si="40"/>
        <v>-0.91228392209626319</v>
      </c>
      <c r="E316" s="2">
        <f t="shared" si="41"/>
        <v>4.8673001359434966</v>
      </c>
      <c r="F316" s="2">
        <f t="shared" si="42"/>
        <v>-2.2061958516739844</v>
      </c>
      <c r="G316" s="2">
        <f t="shared" si="43"/>
        <v>-3.2249679891427498</v>
      </c>
      <c r="H316" s="2">
        <v>2.371575703837428E-2</v>
      </c>
      <c r="I316" s="2">
        <f t="shared" si="44"/>
        <v>0.12939135275764216</v>
      </c>
      <c r="J316" s="2">
        <f t="shared" si="45"/>
        <v>-3.2639031861777061</v>
      </c>
      <c r="AJ316" s="70"/>
      <c r="AK316" s="70"/>
      <c r="AL316" s="70"/>
      <c r="AM316" s="70"/>
      <c r="AN316" s="70"/>
      <c r="AO316" s="70"/>
      <c r="AP316" s="70"/>
      <c r="AQ316" s="83"/>
      <c r="AR316" s="70"/>
      <c r="AS316" s="70"/>
      <c r="AT316" s="70"/>
      <c r="AU316" s="70">
        <f t="shared" si="46"/>
        <v>1</v>
      </c>
      <c r="AV316" s="70">
        <f t="shared" si="47"/>
        <v>0.91228392209626319</v>
      </c>
      <c r="AW316" s="70" t="e">
        <f t="shared" si="48"/>
        <v>#N/A</v>
      </c>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c r="DX316" s="70"/>
      <c r="DY316" s="70"/>
      <c r="DZ316" s="70"/>
      <c r="EA316" s="70"/>
      <c r="EB316" s="70"/>
      <c r="EC316" s="70"/>
      <c r="ED316" s="70"/>
      <c r="EE316" s="70"/>
      <c r="EF316" s="70"/>
      <c r="EG316" s="70"/>
    </row>
    <row r="317" spans="1:137" outlineLevel="1" x14ac:dyDescent="0.2">
      <c r="A317" s="17">
        <v>27</v>
      </c>
      <c r="B317" s="17">
        <v>1</v>
      </c>
      <c r="C317" s="2">
        <v>0.73304329095045673</v>
      </c>
      <c r="D317" s="2">
        <f t="shared" si="40"/>
        <v>0.26695670904954327</v>
      </c>
      <c r="E317" s="2">
        <f t="shared" si="41"/>
        <v>0.62110103775952186</v>
      </c>
      <c r="F317" s="2">
        <f t="shared" si="42"/>
        <v>0.78809963694923868</v>
      </c>
      <c r="G317" s="2">
        <f t="shared" si="43"/>
        <v>0.60346989323734979</v>
      </c>
      <c r="H317" s="2">
        <v>2.3334724939805273E-2</v>
      </c>
      <c r="I317" s="2">
        <f t="shared" si="44"/>
        <v>4.4544328172426654E-3</v>
      </c>
      <c r="J317" s="2">
        <f t="shared" si="45"/>
        <v>0.61063646447725128</v>
      </c>
      <c r="AJ317" s="70"/>
      <c r="AK317" s="70"/>
      <c r="AL317" s="70"/>
      <c r="AM317" s="70"/>
      <c r="AN317" s="70"/>
      <c r="AO317" s="70"/>
      <c r="AP317" s="70"/>
      <c r="AQ317" s="83"/>
      <c r="AR317" s="70"/>
      <c r="AS317" s="70"/>
      <c r="AT317" s="70"/>
      <c r="AU317" s="70">
        <f t="shared" si="46"/>
        <v>0</v>
      </c>
      <c r="AV317" s="70" t="e">
        <f t="shared" si="47"/>
        <v>#N/A</v>
      </c>
      <c r="AW317" s="70">
        <f t="shared" si="48"/>
        <v>0.73304329095045673</v>
      </c>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c r="DX317" s="70"/>
      <c r="DY317" s="70"/>
      <c r="DZ317" s="70"/>
      <c r="EA317" s="70"/>
      <c r="EB317" s="70"/>
      <c r="EC317" s="70"/>
      <c r="ED317" s="70"/>
      <c r="EE317" s="70"/>
      <c r="EF317" s="70"/>
      <c r="EG317" s="70"/>
    </row>
    <row r="318" spans="1:137" outlineLevel="1" x14ac:dyDescent="0.2">
      <c r="A318" s="17">
        <v>28</v>
      </c>
      <c r="B318" s="17">
        <v>0</v>
      </c>
      <c r="C318" s="2">
        <v>0.14308194299027202</v>
      </c>
      <c r="D318" s="2">
        <f t="shared" si="40"/>
        <v>-0.14308194299027202</v>
      </c>
      <c r="E318" s="2">
        <f t="shared" si="41"/>
        <v>0.30882596209439928</v>
      </c>
      <c r="F318" s="2">
        <f t="shared" si="42"/>
        <v>-0.55572111899261056</v>
      </c>
      <c r="G318" s="2">
        <f t="shared" si="43"/>
        <v>-0.40862296178086566</v>
      </c>
      <c r="H318" s="2">
        <v>2.278733445892998E-2</v>
      </c>
      <c r="I318" s="2">
        <f t="shared" si="44"/>
        <v>1.9921906217477805E-3</v>
      </c>
      <c r="J318" s="2">
        <f t="shared" si="45"/>
        <v>-0.41335978603397666</v>
      </c>
      <c r="AJ318" s="70"/>
      <c r="AK318" s="70"/>
      <c r="AL318" s="70"/>
      <c r="AM318" s="70"/>
      <c r="AN318" s="70"/>
      <c r="AO318" s="70"/>
      <c r="AP318" s="70"/>
      <c r="AQ318" s="83"/>
      <c r="AR318" s="70"/>
      <c r="AS318" s="70"/>
      <c r="AT318" s="70"/>
      <c r="AU318" s="70">
        <f t="shared" si="46"/>
        <v>1</v>
      </c>
      <c r="AV318" s="70">
        <f t="shared" si="47"/>
        <v>0.14308194299027202</v>
      </c>
      <c r="AW318" s="70" t="e">
        <f t="shared" si="48"/>
        <v>#N/A</v>
      </c>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c r="DX318" s="70"/>
      <c r="DY318" s="70"/>
      <c r="DZ318" s="70"/>
      <c r="EA318" s="70"/>
      <c r="EB318" s="70"/>
      <c r="EC318" s="70"/>
      <c r="ED318" s="70"/>
      <c r="EE318" s="70"/>
      <c r="EF318" s="70"/>
      <c r="EG318" s="70"/>
    </row>
    <row r="319" spans="1:137" outlineLevel="1" x14ac:dyDescent="0.2">
      <c r="A319" s="17">
        <v>29</v>
      </c>
      <c r="B319" s="17">
        <v>1</v>
      </c>
      <c r="C319" s="2">
        <v>0.54750464704437485</v>
      </c>
      <c r="D319" s="2">
        <f t="shared" si="40"/>
        <v>0.45249535295562515</v>
      </c>
      <c r="E319" s="2">
        <f t="shared" si="41"/>
        <v>1.2047686591504381</v>
      </c>
      <c r="F319" s="2">
        <f t="shared" si="42"/>
        <v>1.0976195420775079</v>
      </c>
      <c r="G319" s="2">
        <f t="shared" si="43"/>
        <v>0.90910313807209298</v>
      </c>
      <c r="H319" s="2">
        <v>1.911244595756233E-2</v>
      </c>
      <c r="I319" s="2">
        <f t="shared" si="44"/>
        <v>8.2086953966748668E-3</v>
      </c>
      <c r="J319" s="2">
        <f t="shared" si="45"/>
        <v>0.91791727838164949</v>
      </c>
      <c r="AJ319" s="70"/>
      <c r="AK319" s="70"/>
      <c r="AL319" s="70"/>
      <c r="AM319" s="70"/>
      <c r="AN319" s="70"/>
      <c r="AO319" s="70"/>
      <c r="AP319" s="70"/>
      <c r="AQ319" s="83"/>
      <c r="AR319" s="70"/>
      <c r="AS319" s="70"/>
      <c r="AT319" s="70"/>
      <c r="AU319" s="70">
        <f t="shared" si="46"/>
        <v>0</v>
      </c>
      <c r="AV319" s="70" t="e">
        <f t="shared" si="47"/>
        <v>#N/A</v>
      </c>
      <c r="AW319" s="70">
        <f t="shared" si="48"/>
        <v>0.54750464704437485</v>
      </c>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row>
    <row r="320" spans="1:137" outlineLevel="1" x14ac:dyDescent="0.2">
      <c r="A320" s="17">
        <v>30</v>
      </c>
      <c r="B320" s="17">
        <v>0</v>
      </c>
      <c r="C320" s="2">
        <v>1.5580092007742312E-2</v>
      </c>
      <c r="D320" s="2">
        <f t="shared" si="40"/>
        <v>-1.5580092007742312E-2</v>
      </c>
      <c r="E320" s="2">
        <f t="shared" si="41"/>
        <v>3.1405474382410828E-2</v>
      </c>
      <c r="F320" s="2">
        <f t="shared" si="42"/>
        <v>-0.17721589765709742</v>
      </c>
      <c r="G320" s="2">
        <f t="shared" si="43"/>
        <v>-0.12580410577450099</v>
      </c>
      <c r="H320" s="2">
        <v>1.0780869187273246E-2</v>
      </c>
      <c r="I320" s="2">
        <f t="shared" si="44"/>
        <v>8.718231511990831E-5</v>
      </c>
      <c r="J320" s="2">
        <f t="shared" si="45"/>
        <v>-0.1264877775031728</v>
      </c>
      <c r="AJ320" s="70"/>
      <c r="AK320" s="70"/>
      <c r="AL320" s="70"/>
      <c r="AM320" s="70"/>
      <c r="AN320" s="70"/>
      <c r="AO320" s="70"/>
      <c r="AP320" s="70"/>
      <c r="AQ320" s="83"/>
      <c r="AR320" s="70"/>
      <c r="AS320" s="70"/>
      <c r="AT320" s="70"/>
      <c r="AU320" s="70">
        <f t="shared" si="46"/>
        <v>1</v>
      </c>
      <c r="AV320" s="70">
        <f t="shared" si="47"/>
        <v>1.5580092007742312E-2</v>
      </c>
      <c r="AW320" s="70" t="e">
        <f t="shared" si="48"/>
        <v>#N/A</v>
      </c>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row>
    <row r="321" spans="1:137" outlineLevel="1" x14ac:dyDescent="0.2">
      <c r="A321" s="17">
        <v>31</v>
      </c>
      <c r="B321" s="17">
        <v>0</v>
      </c>
      <c r="C321" s="2">
        <v>0.48789371414165161</v>
      </c>
      <c r="D321" s="2">
        <f t="shared" si="40"/>
        <v>-0.48789371414165161</v>
      </c>
      <c r="E321" s="2">
        <f t="shared" si="41"/>
        <v>1.3384461718385507</v>
      </c>
      <c r="F321" s="2">
        <f t="shared" si="42"/>
        <v>-1.1569123440600635</v>
      </c>
      <c r="G321" s="2">
        <f t="shared" si="43"/>
        <v>-0.97607358112806608</v>
      </c>
      <c r="H321" s="2">
        <v>1.8606497160340889E-2</v>
      </c>
      <c r="I321" s="2">
        <f t="shared" si="44"/>
        <v>9.2026601622591381E-3</v>
      </c>
      <c r="J321" s="2">
        <f t="shared" si="45"/>
        <v>-0.98528295304462288</v>
      </c>
      <c r="AJ321" s="70"/>
      <c r="AK321" s="70"/>
      <c r="AL321" s="70"/>
      <c r="AM321" s="70"/>
      <c r="AN321" s="70"/>
      <c r="AO321" s="70"/>
      <c r="AP321" s="70"/>
      <c r="AQ321" s="83"/>
      <c r="AR321" s="70"/>
      <c r="AS321" s="70"/>
      <c r="AT321" s="70"/>
      <c r="AU321" s="70">
        <f t="shared" si="46"/>
        <v>1</v>
      </c>
      <c r="AV321" s="70">
        <f t="shared" si="47"/>
        <v>0.48789371414165161</v>
      </c>
      <c r="AW321" s="70" t="e">
        <f t="shared" si="48"/>
        <v>#N/A</v>
      </c>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c r="EB321" s="70"/>
      <c r="EC321" s="70"/>
      <c r="ED321" s="70"/>
      <c r="EE321" s="70"/>
      <c r="EF321" s="70"/>
      <c r="EG321" s="70"/>
    </row>
    <row r="322" spans="1:137" outlineLevel="1" x14ac:dyDescent="0.2">
      <c r="A322" s="17">
        <v>32</v>
      </c>
      <c r="B322" s="17">
        <v>1</v>
      </c>
      <c r="C322" s="2">
        <v>0.96663301721415817</v>
      </c>
      <c r="D322" s="2">
        <f t="shared" si="40"/>
        <v>3.3366982785841826E-2</v>
      </c>
      <c r="E322" s="2">
        <f t="shared" si="41"/>
        <v>6.7872724120025416E-2</v>
      </c>
      <c r="F322" s="2">
        <f t="shared" si="42"/>
        <v>0.26052394154861358</v>
      </c>
      <c r="G322" s="2">
        <f t="shared" si="43"/>
        <v>0.18579227645379306</v>
      </c>
      <c r="H322" s="2">
        <v>1.690754018464715E-2</v>
      </c>
      <c r="I322" s="2">
        <f t="shared" si="44"/>
        <v>3.0193747191375922E-4</v>
      </c>
      <c r="J322" s="2">
        <f t="shared" si="45"/>
        <v>0.18738312328977474</v>
      </c>
      <c r="AJ322" s="70"/>
      <c r="AK322" s="70"/>
      <c r="AL322" s="70"/>
      <c r="AM322" s="70"/>
      <c r="AN322" s="70"/>
      <c r="AO322" s="70"/>
      <c r="AP322" s="70"/>
      <c r="AQ322" s="83"/>
      <c r="AR322" s="70"/>
      <c r="AS322" s="70"/>
      <c r="AT322" s="70"/>
      <c r="AU322" s="70">
        <f t="shared" si="46"/>
        <v>0</v>
      </c>
      <c r="AV322" s="70" t="e">
        <f t="shared" si="47"/>
        <v>#N/A</v>
      </c>
      <c r="AW322" s="70">
        <f t="shared" si="48"/>
        <v>0.96663301721415817</v>
      </c>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c r="DX322" s="70"/>
      <c r="DY322" s="70"/>
      <c r="DZ322" s="70"/>
      <c r="EA322" s="70"/>
      <c r="EB322" s="70"/>
      <c r="EC322" s="70"/>
      <c r="ED322" s="70"/>
      <c r="EE322" s="70"/>
      <c r="EF322" s="70"/>
      <c r="EG322" s="70"/>
    </row>
    <row r="323" spans="1:137" outlineLevel="1" x14ac:dyDescent="0.2">
      <c r="A323" s="17">
        <v>33</v>
      </c>
      <c r="B323" s="17">
        <v>1</v>
      </c>
      <c r="C323" s="2">
        <v>0.8258459666093334</v>
      </c>
      <c r="D323" s="2">
        <f t="shared" si="40"/>
        <v>0.1741540333906666</v>
      </c>
      <c r="E323" s="2">
        <f t="shared" si="41"/>
        <v>0.38269400790684749</v>
      </c>
      <c r="F323" s="2">
        <f t="shared" si="42"/>
        <v>0.61862267005570326</v>
      </c>
      <c r="G323" s="2">
        <f t="shared" si="43"/>
        <v>0.45921624446640352</v>
      </c>
      <c r="H323" s="2">
        <v>2.5259239852008245E-2</v>
      </c>
      <c r="I323" s="2">
        <f t="shared" si="44"/>
        <v>2.8031511235070304E-3</v>
      </c>
      <c r="J323" s="2">
        <f t="shared" si="45"/>
        <v>0.465128208664774</v>
      </c>
      <c r="AJ323" s="70"/>
      <c r="AK323" s="70"/>
      <c r="AL323" s="70"/>
      <c r="AM323" s="70"/>
      <c r="AN323" s="70"/>
      <c r="AO323" s="70"/>
      <c r="AP323" s="70"/>
      <c r="AQ323" s="83"/>
      <c r="AR323" s="70"/>
      <c r="AS323" s="70"/>
      <c r="AT323" s="70"/>
      <c r="AU323" s="70">
        <f t="shared" si="46"/>
        <v>0</v>
      </c>
      <c r="AV323" s="70" t="e">
        <f t="shared" si="47"/>
        <v>#N/A</v>
      </c>
      <c r="AW323" s="70">
        <f t="shared" si="48"/>
        <v>0.8258459666093334</v>
      </c>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c r="EB323" s="70"/>
      <c r="EC323" s="70"/>
      <c r="ED323" s="70"/>
      <c r="EE323" s="70"/>
      <c r="EF323" s="70"/>
      <c r="EG323" s="70"/>
    </row>
    <row r="324" spans="1:137" outlineLevel="1" x14ac:dyDescent="0.2">
      <c r="A324" s="17">
        <v>34</v>
      </c>
      <c r="B324" s="17">
        <v>0</v>
      </c>
      <c r="C324" s="2">
        <v>8.2824995727925357E-2</v>
      </c>
      <c r="D324" s="2">
        <f t="shared" si="40"/>
        <v>-8.2824995727925357E-2</v>
      </c>
      <c r="E324" s="2">
        <f t="shared" si="41"/>
        <v>0.17291396116146346</v>
      </c>
      <c r="F324" s="2">
        <f t="shared" si="42"/>
        <v>-0.41582924519742892</v>
      </c>
      <c r="G324" s="2">
        <f t="shared" si="43"/>
        <v>-0.3005070089766092</v>
      </c>
      <c r="H324" s="2">
        <v>2.1279309974639612E-2</v>
      </c>
      <c r="I324" s="2">
        <f t="shared" si="44"/>
        <v>1.003042230728355E-3</v>
      </c>
      <c r="J324" s="2">
        <f t="shared" si="45"/>
        <v>-0.30375624900968529</v>
      </c>
      <c r="AJ324" s="70"/>
      <c r="AK324" s="70"/>
      <c r="AL324" s="70"/>
      <c r="AM324" s="70"/>
      <c r="AN324" s="70"/>
      <c r="AO324" s="70"/>
      <c r="AP324" s="70"/>
      <c r="AQ324" s="83"/>
      <c r="AR324" s="70"/>
      <c r="AS324" s="70"/>
      <c r="AT324" s="70"/>
      <c r="AU324" s="70">
        <f t="shared" si="46"/>
        <v>1</v>
      </c>
      <c r="AV324" s="70">
        <f t="shared" si="47"/>
        <v>8.2824995727925357E-2</v>
      </c>
      <c r="AW324" s="70" t="e">
        <f t="shared" si="48"/>
        <v>#N/A</v>
      </c>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c r="EB324" s="70"/>
      <c r="EC324" s="70"/>
      <c r="ED324" s="70"/>
      <c r="EE324" s="70"/>
      <c r="EF324" s="70"/>
      <c r="EG324" s="70"/>
    </row>
    <row r="325" spans="1:137" outlineLevel="1" x14ac:dyDescent="0.2">
      <c r="A325" s="17">
        <v>35</v>
      </c>
      <c r="B325" s="17">
        <v>0</v>
      </c>
      <c r="C325" s="2">
        <v>0.40374058541645502</v>
      </c>
      <c r="D325" s="2">
        <f t="shared" si="40"/>
        <v>-0.40374058541645502</v>
      </c>
      <c r="E325" s="2">
        <f t="shared" si="41"/>
        <v>1.034158894492609</v>
      </c>
      <c r="F325" s="2">
        <f t="shared" si="42"/>
        <v>-1.0169360326454211</v>
      </c>
      <c r="G325" s="2">
        <f t="shared" si="43"/>
        <v>-0.82287445322582087</v>
      </c>
      <c r="H325" s="2">
        <v>1.8817728400255637E-2</v>
      </c>
      <c r="I325" s="2">
        <f t="shared" si="44"/>
        <v>6.6176679819618727E-3</v>
      </c>
      <c r="J325" s="2">
        <f t="shared" si="45"/>
        <v>-0.83072777898548822</v>
      </c>
      <c r="AJ325" s="70"/>
      <c r="AK325" s="70"/>
      <c r="AL325" s="70"/>
      <c r="AM325" s="70"/>
      <c r="AN325" s="70"/>
      <c r="AO325" s="70"/>
      <c r="AP325" s="70"/>
      <c r="AQ325" s="83"/>
      <c r="AR325" s="70"/>
      <c r="AS325" s="70"/>
      <c r="AT325" s="70"/>
      <c r="AU325" s="70">
        <f t="shared" si="46"/>
        <v>1</v>
      </c>
      <c r="AV325" s="70">
        <f t="shared" si="47"/>
        <v>0.40374058541645502</v>
      </c>
      <c r="AW325" s="70" t="e">
        <f t="shared" si="48"/>
        <v>#N/A</v>
      </c>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c r="EB325" s="70"/>
      <c r="EC325" s="70"/>
      <c r="ED325" s="70"/>
      <c r="EE325" s="70"/>
      <c r="EF325" s="70"/>
      <c r="EG325" s="70"/>
    </row>
    <row r="326" spans="1:137" outlineLevel="1" x14ac:dyDescent="0.2">
      <c r="A326" s="17">
        <v>36</v>
      </c>
      <c r="B326" s="17">
        <v>1</v>
      </c>
      <c r="C326" s="2">
        <v>0.88083669509932339</v>
      </c>
      <c r="D326" s="2">
        <f t="shared" si="40"/>
        <v>0.11916330490067661</v>
      </c>
      <c r="E326" s="2">
        <f t="shared" si="41"/>
        <v>0.25376606667738472</v>
      </c>
      <c r="F326" s="2">
        <f t="shared" si="42"/>
        <v>0.50375198925402243</v>
      </c>
      <c r="G326" s="2">
        <f t="shared" si="43"/>
        <v>0.36781003195991741</v>
      </c>
      <c r="H326" s="2">
        <v>2.4993652536888972E-2</v>
      </c>
      <c r="I326" s="2">
        <f t="shared" si="44"/>
        <v>1.7784103898930445E-3</v>
      </c>
      <c r="J326" s="2">
        <f t="shared" si="45"/>
        <v>0.3724944864658209</v>
      </c>
      <c r="AJ326" s="70"/>
      <c r="AK326" s="70"/>
      <c r="AL326" s="70"/>
      <c r="AM326" s="70"/>
      <c r="AN326" s="70"/>
      <c r="AO326" s="70"/>
      <c r="AP326" s="70"/>
      <c r="AQ326" s="83"/>
      <c r="AR326" s="70"/>
      <c r="AS326" s="70"/>
      <c r="AT326" s="70"/>
      <c r="AU326" s="70">
        <f t="shared" si="46"/>
        <v>0</v>
      </c>
      <c r="AV326" s="70" t="e">
        <f t="shared" si="47"/>
        <v>#N/A</v>
      </c>
      <c r="AW326" s="70">
        <f t="shared" si="48"/>
        <v>0.88083669509932339</v>
      </c>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c r="DX326" s="70"/>
      <c r="DY326" s="70"/>
      <c r="DZ326" s="70"/>
      <c r="EA326" s="70"/>
      <c r="EB326" s="70"/>
      <c r="EC326" s="70"/>
      <c r="ED326" s="70"/>
      <c r="EE326" s="70"/>
      <c r="EF326" s="70"/>
      <c r="EG326" s="70"/>
    </row>
    <row r="327" spans="1:137" outlineLevel="1" x14ac:dyDescent="0.2">
      <c r="A327" s="17">
        <v>37</v>
      </c>
      <c r="B327" s="17">
        <v>0</v>
      </c>
      <c r="C327" s="2">
        <v>7.5368281352145558E-2</v>
      </c>
      <c r="D327" s="2">
        <f t="shared" si="40"/>
        <v>-7.5368281352145558E-2</v>
      </c>
      <c r="E327" s="2">
        <f t="shared" si="41"/>
        <v>0.15671952550320434</v>
      </c>
      <c r="F327" s="2">
        <f t="shared" si="42"/>
        <v>-0.39587817002608811</v>
      </c>
      <c r="G327" s="2">
        <f t="shared" si="43"/>
        <v>-0.28550249789698379</v>
      </c>
      <c r="H327" s="2">
        <v>2.0810104446402286E-2</v>
      </c>
      <c r="I327" s="2">
        <f t="shared" si="44"/>
        <v>8.8456599990674207E-4</v>
      </c>
      <c r="J327" s="2">
        <f t="shared" si="45"/>
        <v>-0.28852035020693967</v>
      </c>
      <c r="AJ327" s="70"/>
      <c r="AK327" s="70"/>
      <c r="AL327" s="70"/>
      <c r="AM327" s="70"/>
      <c r="AN327" s="70"/>
      <c r="AO327" s="70"/>
      <c r="AP327" s="70"/>
      <c r="AQ327" s="83"/>
      <c r="AR327" s="70"/>
      <c r="AS327" s="70"/>
      <c r="AT327" s="70"/>
      <c r="AU327" s="70">
        <f t="shared" si="46"/>
        <v>1</v>
      </c>
      <c r="AV327" s="70">
        <f t="shared" si="47"/>
        <v>7.5368281352145558E-2</v>
      </c>
      <c r="AW327" s="70" t="e">
        <f t="shared" si="48"/>
        <v>#N/A</v>
      </c>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row>
    <row r="328" spans="1:137" outlineLevel="1" x14ac:dyDescent="0.2">
      <c r="A328" s="17">
        <v>38</v>
      </c>
      <c r="B328" s="17">
        <v>0</v>
      </c>
      <c r="C328" s="2">
        <v>0.13491083112660696</v>
      </c>
      <c r="D328" s="2">
        <f t="shared" si="40"/>
        <v>-0.13491083112660696</v>
      </c>
      <c r="E328" s="2">
        <f t="shared" si="41"/>
        <v>0.28984538392085241</v>
      </c>
      <c r="F328" s="2">
        <f t="shared" si="42"/>
        <v>-0.53837290414809358</v>
      </c>
      <c r="G328" s="2">
        <f t="shared" si="43"/>
        <v>-0.39490530835839593</v>
      </c>
      <c r="H328" s="2">
        <v>2.2748056581391465E-2</v>
      </c>
      <c r="I328" s="2">
        <f t="shared" si="44"/>
        <v>1.8573218239501294E-3</v>
      </c>
      <c r="J328" s="2">
        <f t="shared" si="45"/>
        <v>-0.3994750872002632</v>
      </c>
      <c r="AJ328" s="70"/>
      <c r="AK328" s="70"/>
      <c r="AL328" s="70"/>
      <c r="AM328" s="70"/>
      <c r="AN328" s="70"/>
      <c r="AO328" s="70"/>
      <c r="AP328" s="70"/>
      <c r="AQ328" s="83"/>
      <c r="AR328" s="70"/>
      <c r="AS328" s="70"/>
      <c r="AT328" s="70"/>
      <c r="AU328" s="70">
        <f t="shared" si="46"/>
        <v>1</v>
      </c>
      <c r="AV328" s="70">
        <f t="shared" si="47"/>
        <v>0.13491083112660696</v>
      </c>
      <c r="AW328" s="70" t="e">
        <f t="shared" si="48"/>
        <v>#N/A</v>
      </c>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c r="DX328" s="70"/>
      <c r="DY328" s="70"/>
      <c r="DZ328" s="70"/>
      <c r="EA328" s="70"/>
      <c r="EB328" s="70"/>
      <c r="EC328" s="70"/>
      <c r="ED328" s="70"/>
      <c r="EE328" s="70"/>
      <c r="EF328" s="70"/>
      <c r="EG328" s="70"/>
    </row>
    <row r="329" spans="1:137" outlineLevel="1" x14ac:dyDescent="0.2">
      <c r="A329" s="17">
        <v>39</v>
      </c>
      <c r="B329" s="17">
        <v>0</v>
      </c>
      <c r="C329" s="2">
        <v>1.9055176861159713E-2</v>
      </c>
      <c r="D329" s="2">
        <f t="shared" si="40"/>
        <v>-1.9055176861159713E-2</v>
      </c>
      <c r="E329" s="2">
        <f t="shared" si="41"/>
        <v>3.8478133049539343E-2</v>
      </c>
      <c r="F329" s="2">
        <f t="shared" si="42"/>
        <v>-0.19615843863963472</v>
      </c>
      <c r="G329" s="2">
        <f t="shared" si="43"/>
        <v>-0.13937478236437564</v>
      </c>
      <c r="H329" s="2">
        <v>1.1985890943453368E-2</v>
      </c>
      <c r="I329" s="2">
        <f t="shared" si="44"/>
        <v>1.1925660392069919E-4</v>
      </c>
      <c r="J329" s="2">
        <f t="shared" si="45"/>
        <v>-0.14021763217819902</v>
      </c>
      <c r="AJ329" s="70"/>
      <c r="AK329" s="70"/>
      <c r="AL329" s="70"/>
      <c r="AM329" s="70"/>
      <c r="AN329" s="70"/>
      <c r="AO329" s="70"/>
      <c r="AP329" s="70"/>
      <c r="AQ329" s="83"/>
      <c r="AR329" s="70"/>
      <c r="AS329" s="70"/>
      <c r="AT329" s="70"/>
      <c r="AU329" s="70">
        <f t="shared" si="46"/>
        <v>1</v>
      </c>
      <c r="AV329" s="70">
        <f t="shared" si="47"/>
        <v>1.9055176861159713E-2</v>
      </c>
      <c r="AW329" s="70" t="e">
        <f t="shared" si="48"/>
        <v>#N/A</v>
      </c>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c r="EB329" s="70"/>
      <c r="EC329" s="70"/>
      <c r="ED329" s="70"/>
      <c r="EE329" s="70"/>
      <c r="EF329" s="70"/>
      <c r="EG329" s="70"/>
    </row>
    <row r="330" spans="1:137" outlineLevel="1" x14ac:dyDescent="0.2">
      <c r="A330" s="17">
        <v>40</v>
      </c>
      <c r="B330" s="17">
        <v>0</v>
      </c>
      <c r="C330" s="2">
        <v>0.69109362174771127</v>
      </c>
      <c r="D330" s="2">
        <f t="shared" si="40"/>
        <v>-0.69109362174771127</v>
      </c>
      <c r="E330" s="2">
        <f t="shared" si="41"/>
        <v>2.3494340619906331</v>
      </c>
      <c r="F330" s="2">
        <f t="shared" si="42"/>
        <v>-1.5327863719353174</v>
      </c>
      <c r="G330" s="2">
        <f t="shared" si="43"/>
        <v>-1.4957361997963763</v>
      </c>
      <c r="H330" s="2">
        <v>2.2189433975615045E-2</v>
      </c>
      <c r="I330" s="2">
        <f t="shared" si="44"/>
        <v>2.59607231527915E-2</v>
      </c>
      <c r="J330" s="2">
        <f t="shared" si="45"/>
        <v>-1.5126123489454171</v>
      </c>
      <c r="AJ330" s="70"/>
      <c r="AK330" s="70"/>
      <c r="AL330" s="70"/>
      <c r="AM330" s="70"/>
      <c r="AN330" s="70"/>
      <c r="AO330" s="70"/>
      <c r="AP330" s="70"/>
      <c r="AQ330" s="83"/>
      <c r="AR330" s="70"/>
      <c r="AS330" s="70"/>
      <c r="AT330" s="70"/>
      <c r="AU330" s="70">
        <f t="shared" si="46"/>
        <v>1</v>
      </c>
      <c r="AV330" s="70">
        <f t="shared" si="47"/>
        <v>0.69109362174771127</v>
      </c>
      <c r="AW330" s="70" t="e">
        <f t="shared" si="48"/>
        <v>#N/A</v>
      </c>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c r="DX330" s="70"/>
      <c r="DY330" s="70"/>
      <c r="DZ330" s="70"/>
      <c r="EA330" s="70"/>
      <c r="EB330" s="70"/>
      <c r="EC330" s="70"/>
      <c r="ED330" s="70"/>
      <c r="EE330" s="70"/>
      <c r="EF330" s="70"/>
      <c r="EG330" s="70"/>
    </row>
    <row r="331" spans="1:137" outlineLevel="1" x14ac:dyDescent="0.2">
      <c r="A331" s="17">
        <v>41</v>
      </c>
      <c r="B331" s="17">
        <v>0</v>
      </c>
      <c r="C331" s="2">
        <v>0.25486325483284256</v>
      </c>
      <c r="D331" s="2">
        <f t="shared" si="40"/>
        <v>-0.25486325483284256</v>
      </c>
      <c r="E331" s="2">
        <f t="shared" si="41"/>
        <v>0.58837505377195543</v>
      </c>
      <c r="F331" s="2">
        <f t="shared" si="42"/>
        <v>-0.767056095583599</v>
      </c>
      <c r="G331" s="2">
        <f t="shared" si="43"/>
        <v>-0.58483805264223843</v>
      </c>
      <c r="H331" s="2">
        <v>2.1291228927395895E-2</v>
      </c>
      <c r="I331" s="2">
        <f t="shared" si="44"/>
        <v>3.8013251393544164E-3</v>
      </c>
      <c r="J331" s="2">
        <f t="shared" si="45"/>
        <v>-0.59116522929679782</v>
      </c>
      <c r="AJ331" s="70"/>
      <c r="AK331" s="70"/>
      <c r="AL331" s="70"/>
      <c r="AM331" s="70"/>
      <c r="AN331" s="70"/>
      <c r="AO331" s="70"/>
      <c r="AP331" s="70"/>
      <c r="AQ331" s="83"/>
      <c r="AR331" s="70"/>
      <c r="AS331" s="70"/>
      <c r="AT331" s="70"/>
      <c r="AU331" s="70">
        <f t="shared" si="46"/>
        <v>1</v>
      </c>
      <c r="AV331" s="70">
        <f t="shared" si="47"/>
        <v>0.25486325483284256</v>
      </c>
      <c r="AW331" s="70" t="e">
        <f t="shared" si="48"/>
        <v>#N/A</v>
      </c>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c r="EB331" s="70"/>
      <c r="EC331" s="70"/>
      <c r="ED331" s="70"/>
      <c r="EE331" s="70"/>
      <c r="EF331" s="70"/>
      <c r="EG331" s="70"/>
    </row>
    <row r="332" spans="1:137" outlineLevel="1" x14ac:dyDescent="0.2">
      <c r="A332" s="17">
        <v>42</v>
      </c>
      <c r="B332" s="17">
        <v>0</v>
      </c>
      <c r="C332" s="2">
        <v>7.7782678678947267E-2</v>
      </c>
      <c r="D332" s="2">
        <f t="shared" si="40"/>
        <v>-7.7782678678947267E-2</v>
      </c>
      <c r="E332" s="2">
        <f t="shared" si="41"/>
        <v>0.16194875355594318</v>
      </c>
      <c r="F332" s="2">
        <f t="shared" si="42"/>
        <v>-0.40242856950761235</v>
      </c>
      <c r="G332" s="2">
        <f t="shared" si="43"/>
        <v>-0.29041885587283223</v>
      </c>
      <c r="H332" s="2">
        <v>2.0972000606675575E-2</v>
      </c>
      <c r="I332" s="2">
        <f t="shared" si="44"/>
        <v>9.227185707377522E-4</v>
      </c>
      <c r="J332" s="2">
        <f t="shared" si="45"/>
        <v>-0.29351294090569463</v>
      </c>
      <c r="AJ332" s="70"/>
      <c r="AK332" s="70"/>
      <c r="AL332" s="70"/>
      <c r="AM332" s="70"/>
      <c r="AN332" s="70"/>
      <c r="AO332" s="70"/>
      <c r="AP332" s="70"/>
      <c r="AQ332" s="83"/>
      <c r="AR332" s="70"/>
      <c r="AS332" s="70"/>
      <c r="AT332" s="70"/>
      <c r="AU332" s="70">
        <f t="shared" si="46"/>
        <v>1</v>
      </c>
      <c r="AV332" s="70">
        <f t="shared" si="47"/>
        <v>7.7782678678947267E-2</v>
      </c>
      <c r="AW332" s="70" t="e">
        <f t="shared" si="48"/>
        <v>#N/A</v>
      </c>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row>
    <row r="333" spans="1:137" outlineLevel="1" x14ac:dyDescent="0.2">
      <c r="A333" s="17">
        <v>43</v>
      </c>
      <c r="B333" s="17">
        <v>0</v>
      </c>
      <c r="C333" s="2">
        <v>9.9778581955654297E-2</v>
      </c>
      <c r="D333" s="2">
        <f t="shared" si="40"/>
        <v>-9.9778581955654297E-2</v>
      </c>
      <c r="E333" s="2">
        <f t="shared" si="41"/>
        <v>0.21022905173304579</v>
      </c>
      <c r="F333" s="2">
        <f t="shared" si="42"/>
        <v>-0.45850741731519001</v>
      </c>
      <c r="G333" s="2">
        <f t="shared" si="43"/>
        <v>-0.33292314839197873</v>
      </c>
      <c r="H333" s="2">
        <v>2.205255631904118E-2</v>
      </c>
      <c r="I333" s="2">
        <f t="shared" si="44"/>
        <v>1.2778677171289916E-3</v>
      </c>
      <c r="J333" s="2">
        <f t="shared" si="45"/>
        <v>-0.33665590395815864</v>
      </c>
      <c r="AJ333" s="70"/>
      <c r="AK333" s="70"/>
      <c r="AL333" s="70"/>
      <c r="AM333" s="70"/>
      <c r="AN333" s="70"/>
      <c r="AO333" s="70"/>
      <c r="AP333" s="70"/>
      <c r="AQ333" s="83"/>
      <c r="AR333" s="70"/>
      <c r="AS333" s="70"/>
      <c r="AT333" s="70"/>
      <c r="AU333" s="70">
        <f t="shared" si="46"/>
        <v>1</v>
      </c>
      <c r="AV333" s="70">
        <f t="shared" si="47"/>
        <v>9.9778581955654297E-2</v>
      </c>
      <c r="AW333" s="70" t="e">
        <f t="shared" si="48"/>
        <v>#N/A</v>
      </c>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c r="DX333" s="70"/>
      <c r="DY333" s="70"/>
      <c r="DZ333" s="70"/>
      <c r="EA333" s="70"/>
      <c r="EB333" s="70"/>
      <c r="EC333" s="70"/>
      <c r="ED333" s="70"/>
      <c r="EE333" s="70"/>
      <c r="EF333" s="70"/>
      <c r="EG333" s="70"/>
    </row>
    <row r="334" spans="1:137" outlineLevel="1" x14ac:dyDescent="0.2">
      <c r="A334" s="17">
        <v>44</v>
      </c>
      <c r="B334" s="17">
        <v>0</v>
      </c>
      <c r="C334" s="2">
        <v>3.9545817898470094E-2</v>
      </c>
      <c r="D334" s="2">
        <f t="shared" si="40"/>
        <v>-3.9545817898470094E-2</v>
      </c>
      <c r="E334" s="2">
        <f t="shared" si="41"/>
        <v>8.0698000088041677E-2</v>
      </c>
      <c r="F334" s="2">
        <f t="shared" si="42"/>
        <v>-0.28407393419326893</v>
      </c>
      <c r="G334" s="2">
        <f t="shared" si="43"/>
        <v>-0.20291397337710834</v>
      </c>
      <c r="H334" s="2">
        <v>1.6799312390982465E-2</v>
      </c>
      <c r="I334" s="2">
        <f t="shared" si="44"/>
        <v>3.577676542321217E-4</v>
      </c>
      <c r="J334" s="2">
        <f t="shared" si="45"/>
        <v>-0.2046401607675688</v>
      </c>
      <c r="AJ334" s="70"/>
      <c r="AK334" s="70"/>
      <c r="AL334" s="70"/>
      <c r="AM334" s="70"/>
      <c r="AN334" s="70"/>
      <c r="AO334" s="70"/>
      <c r="AP334" s="70"/>
      <c r="AQ334" s="83"/>
      <c r="AR334" s="70"/>
      <c r="AS334" s="70"/>
      <c r="AT334" s="70"/>
      <c r="AU334" s="70">
        <f t="shared" si="46"/>
        <v>1</v>
      </c>
      <c r="AV334" s="70">
        <f t="shared" si="47"/>
        <v>3.9545817898470094E-2</v>
      </c>
      <c r="AW334" s="70" t="e">
        <f t="shared" si="48"/>
        <v>#N/A</v>
      </c>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row>
    <row r="335" spans="1:137" outlineLevel="1" x14ac:dyDescent="0.2">
      <c r="A335" s="17">
        <v>45</v>
      </c>
      <c r="B335" s="17">
        <v>0</v>
      </c>
      <c r="C335" s="2">
        <v>0.13097500281331403</v>
      </c>
      <c r="D335" s="2">
        <f t="shared" si="40"/>
        <v>-0.13097500281331403</v>
      </c>
      <c r="E335" s="2">
        <f t="shared" si="41"/>
        <v>0.2807667773364475</v>
      </c>
      <c r="F335" s="2">
        <f t="shared" si="42"/>
        <v>-0.52987430333660035</v>
      </c>
      <c r="G335" s="2">
        <f t="shared" si="43"/>
        <v>-0.38822015061745774</v>
      </c>
      <c r="H335" s="2">
        <v>2.27155035038164E-2</v>
      </c>
      <c r="I335" s="2">
        <f t="shared" si="44"/>
        <v>1.7922826514980099E-3</v>
      </c>
      <c r="J335" s="2">
        <f t="shared" si="45"/>
        <v>-0.39270602929257109</v>
      </c>
      <c r="AJ335" s="70"/>
      <c r="AK335" s="70"/>
      <c r="AL335" s="70"/>
      <c r="AM335" s="70"/>
      <c r="AN335" s="70"/>
      <c r="AO335" s="70"/>
      <c r="AP335" s="70"/>
      <c r="AQ335" s="83"/>
      <c r="AR335" s="70"/>
      <c r="AS335" s="70"/>
      <c r="AT335" s="70"/>
      <c r="AU335" s="70">
        <f t="shared" si="46"/>
        <v>1</v>
      </c>
      <c r="AV335" s="70">
        <f t="shared" si="47"/>
        <v>0.13097500281331403</v>
      </c>
      <c r="AW335" s="70" t="e">
        <f t="shared" si="48"/>
        <v>#N/A</v>
      </c>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row>
    <row r="336" spans="1:137" outlineLevel="1" x14ac:dyDescent="0.2">
      <c r="A336" s="17">
        <v>46</v>
      </c>
      <c r="B336" s="17">
        <v>0</v>
      </c>
      <c r="C336" s="2">
        <v>0.28165781176471189</v>
      </c>
      <c r="D336" s="2">
        <f t="shared" si="40"/>
        <v>-0.28165781176471189</v>
      </c>
      <c r="E336" s="2">
        <f t="shared" si="41"/>
        <v>0.66161847635738746</v>
      </c>
      <c r="F336" s="2">
        <f t="shared" si="42"/>
        <v>-0.81339933388058994</v>
      </c>
      <c r="G336" s="2">
        <f t="shared" si="43"/>
        <v>-0.62617426372434526</v>
      </c>
      <c r="H336" s="2">
        <v>2.0736970160049155E-2</v>
      </c>
      <c r="I336" s="2">
        <f t="shared" si="44"/>
        <v>4.2394255892211179E-3</v>
      </c>
      <c r="J336" s="2">
        <f t="shared" si="45"/>
        <v>-0.63276949519180303</v>
      </c>
      <c r="AJ336" s="70"/>
      <c r="AK336" s="70"/>
      <c r="AL336" s="70"/>
      <c r="AM336" s="70"/>
      <c r="AN336" s="70"/>
      <c r="AO336" s="70"/>
      <c r="AP336" s="70"/>
      <c r="AQ336" s="83"/>
      <c r="AR336" s="70"/>
      <c r="AS336" s="70"/>
      <c r="AT336" s="70"/>
      <c r="AU336" s="70">
        <f t="shared" si="46"/>
        <v>1</v>
      </c>
      <c r="AV336" s="70">
        <f t="shared" si="47"/>
        <v>0.28165781176471189</v>
      </c>
      <c r="AW336" s="70" t="e">
        <f t="shared" si="48"/>
        <v>#N/A</v>
      </c>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row>
    <row r="337" spans="1:137" outlineLevel="1" x14ac:dyDescent="0.2">
      <c r="A337" s="17">
        <v>47</v>
      </c>
      <c r="B337" s="17">
        <v>1</v>
      </c>
      <c r="C337" s="2">
        <v>0.84462557640398672</v>
      </c>
      <c r="D337" s="2">
        <f t="shared" si="40"/>
        <v>0.15537442359601328</v>
      </c>
      <c r="E337" s="2">
        <f t="shared" si="41"/>
        <v>0.33772370934455737</v>
      </c>
      <c r="F337" s="2">
        <f t="shared" si="42"/>
        <v>0.58114000838400148</v>
      </c>
      <c r="G337" s="2">
        <f t="shared" si="43"/>
        <v>0.42890158493266073</v>
      </c>
      <c r="H337" s="2">
        <v>2.5362263855753391E-2</v>
      </c>
      <c r="I337" s="2">
        <f t="shared" si="44"/>
        <v>2.4557654107766488E-3</v>
      </c>
      <c r="J337" s="2">
        <f t="shared" si="45"/>
        <v>0.43444623699448676</v>
      </c>
      <c r="AJ337" s="70"/>
      <c r="AK337" s="70"/>
      <c r="AL337" s="70"/>
      <c r="AM337" s="70"/>
      <c r="AN337" s="70"/>
      <c r="AO337" s="70"/>
      <c r="AP337" s="70"/>
      <c r="AQ337" s="83"/>
      <c r="AR337" s="70"/>
      <c r="AS337" s="70"/>
      <c r="AT337" s="70"/>
      <c r="AU337" s="70">
        <f t="shared" si="46"/>
        <v>0</v>
      </c>
      <c r="AV337" s="70" t="e">
        <f t="shared" si="47"/>
        <v>#N/A</v>
      </c>
      <c r="AW337" s="70">
        <f t="shared" si="48"/>
        <v>0.84462557640398672</v>
      </c>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row>
    <row r="338" spans="1:137" outlineLevel="1" x14ac:dyDescent="0.2">
      <c r="A338" s="17">
        <v>48</v>
      </c>
      <c r="B338" s="17">
        <v>0</v>
      </c>
      <c r="C338" s="2">
        <v>2.1067382995564023E-2</v>
      </c>
      <c r="D338" s="2">
        <f t="shared" si="40"/>
        <v>-2.1067382995564023E-2</v>
      </c>
      <c r="E338" s="2">
        <f t="shared" si="41"/>
        <v>4.2584934424401338E-2</v>
      </c>
      <c r="F338" s="2">
        <f t="shared" si="42"/>
        <v>-0.206361174702029</v>
      </c>
      <c r="G338" s="2">
        <f t="shared" si="43"/>
        <v>-0.14669958856260798</v>
      </c>
      <c r="H338" s="2">
        <v>1.2612936221134883E-2</v>
      </c>
      <c r="I338" s="2">
        <f t="shared" si="44"/>
        <v>1.3920958204883627E-4</v>
      </c>
      <c r="J338" s="2">
        <f t="shared" si="45"/>
        <v>-0.14763358955663386</v>
      </c>
      <c r="AJ338" s="70"/>
      <c r="AK338" s="70"/>
      <c r="AL338" s="70"/>
      <c r="AM338" s="70"/>
      <c r="AN338" s="70"/>
      <c r="AO338" s="70"/>
      <c r="AP338" s="70"/>
      <c r="AQ338" s="83"/>
      <c r="AR338" s="70"/>
      <c r="AS338" s="70"/>
      <c r="AT338" s="70"/>
      <c r="AU338" s="70">
        <f t="shared" si="46"/>
        <v>1</v>
      </c>
      <c r="AV338" s="70">
        <f t="shared" si="47"/>
        <v>2.1067382995564023E-2</v>
      </c>
      <c r="AW338" s="70" t="e">
        <f t="shared" si="48"/>
        <v>#N/A</v>
      </c>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c r="DX338" s="70"/>
      <c r="DY338" s="70"/>
      <c r="DZ338" s="70"/>
      <c r="EA338" s="70"/>
      <c r="EB338" s="70"/>
      <c r="EC338" s="70"/>
      <c r="ED338" s="70"/>
      <c r="EE338" s="70"/>
      <c r="EF338" s="70"/>
      <c r="EG338" s="70"/>
    </row>
    <row r="339" spans="1:137" outlineLevel="1" x14ac:dyDescent="0.2">
      <c r="A339" s="17">
        <v>49</v>
      </c>
      <c r="B339" s="17">
        <v>0</v>
      </c>
      <c r="C339" s="2">
        <v>0.67632708336690561</v>
      </c>
      <c r="D339" s="2">
        <f t="shared" si="40"/>
        <v>-0.67632708336690561</v>
      </c>
      <c r="E339" s="2">
        <f t="shared" si="41"/>
        <v>2.2560435793187579</v>
      </c>
      <c r="F339" s="2">
        <f t="shared" si="42"/>
        <v>-1.5020131754810802</v>
      </c>
      <c r="G339" s="2">
        <f t="shared" si="43"/>
        <v>-1.4455236745118771</v>
      </c>
      <c r="H339" s="2">
        <v>2.1791697032600931E-2</v>
      </c>
      <c r="I339" s="2">
        <f t="shared" si="44"/>
        <v>2.3792977004138939E-2</v>
      </c>
      <c r="J339" s="2">
        <f t="shared" si="45"/>
        <v>-1.4615360648611588</v>
      </c>
      <c r="AJ339" s="70"/>
      <c r="AK339" s="70"/>
      <c r="AL339" s="70"/>
      <c r="AM339" s="70"/>
      <c r="AN339" s="70"/>
      <c r="AO339" s="70"/>
      <c r="AP339" s="70"/>
      <c r="AQ339" s="83"/>
      <c r="AR339" s="70"/>
      <c r="AS339" s="70"/>
      <c r="AT339" s="70"/>
      <c r="AU339" s="70">
        <f t="shared" si="46"/>
        <v>1</v>
      </c>
      <c r="AV339" s="70">
        <f t="shared" si="47"/>
        <v>0.67632708336690561</v>
      </c>
      <c r="AW339" s="70" t="e">
        <f t="shared" si="48"/>
        <v>#N/A</v>
      </c>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c r="EB339" s="70"/>
      <c r="EC339" s="70"/>
      <c r="ED339" s="70"/>
      <c r="EE339" s="70"/>
      <c r="EF339" s="70"/>
      <c r="EG339" s="70"/>
    </row>
    <row r="340" spans="1:137" outlineLevel="1" x14ac:dyDescent="0.2">
      <c r="A340" s="17">
        <v>50</v>
      </c>
      <c r="B340" s="17">
        <v>0</v>
      </c>
      <c r="C340" s="2">
        <v>1.4084452144028238E-2</v>
      </c>
      <c r="D340" s="2">
        <f t="shared" si="40"/>
        <v>-1.4084452144028238E-2</v>
      </c>
      <c r="E340" s="2">
        <f t="shared" si="41"/>
        <v>2.8369158618944651E-2</v>
      </c>
      <c r="F340" s="2">
        <f t="shared" si="42"/>
        <v>-0.1684314656438774</v>
      </c>
      <c r="G340" s="2">
        <f t="shared" si="43"/>
        <v>-0.11952262466900443</v>
      </c>
      <c r="H340" s="2">
        <v>1.020563487169837E-2</v>
      </c>
      <c r="I340" s="2">
        <f t="shared" si="44"/>
        <v>7.4408117934033642E-5</v>
      </c>
      <c r="J340" s="2">
        <f t="shared" si="45"/>
        <v>-0.12013723519154886</v>
      </c>
      <c r="AJ340" s="70"/>
      <c r="AK340" s="70"/>
      <c r="AL340" s="70"/>
      <c r="AM340" s="70"/>
      <c r="AN340" s="70"/>
      <c r="AO340" s="70"/>
      <c r="AP340" s="70"/>
      <c r="AQ340" s="83"/>
      <c r="AR340" s="70"/>
      <c r="AS340" s="70"/>
      <c r="AT340" s="70"/>
      <c r="AU340" s="70">
        <f t="shared" si="46"/>
        <v>1</v>
      </c>
      <c r="AV340" s="70">
        <f t="shared" si="47"/>
        <v>1.4084452144028238E-2</v>
      </c>
      <c r="AW340" s="70" t="e">
        <f t="shared" si="48"/>
        <v>#N/A</v>
      </c>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c r="EB340" s="70"/>
      <c r="EC340" s="70"/>
      <c r="ED340" s="70"/>
      <c r="EE340" s="70"/>
      <c r="EF340" s="70"/>
      <c r="EG340" s="70"/>
    </row>
    <row r="341" spans="1:137" outlineLevel="1" x14ac:dyDescent="0.2">
      <c r="A341" s="17">
        <v>51</v>
      </c>
      <c r="B341" s="17">
        <v>0</v>
      </c>
      <c r="C341" s="2">
        <v>1.5580092007742312E-2</v>
      </c>
      <c r="D341" s="2">
        <f t="shared" si="40"/>
        <v>-1.5580092007742312E-2</v>
      </c>
      <c r="E341" s="2">
        <f t="shared" si="41"/>
        <v>3.1405474382410828E-2</v>
      </c>
      <c r="F341" s="2">
        <f t="shared" si="42"/>
        <v>-0.17721589765709742</v>
      </c>
      <c r="G341" s="2">
        <f t="shared" si="43"/>
        <v>-0.12580410577450099</v>
      </c>
      <c r="H341" s="2">
        <v>1.0780869187273246E-2</v>
      </c>
      <c r="I341" s="2">
        <f t="shared" si="44"/>
        <v>8.718231511990831E-5</v>
      </c>
      <c r="J341" s="2">
        <f t="shared" si="45"/>
        <v>-0.1264877775031728</v>
      </c>
      <c r="AJ341" s="70"/>
      <c r="AK341" s="70"/>
      <c r="AL341" s="70"/>
      <c r="AM341" s="70"/>
      <c r="AN341" s="70"/>
      <c r="AO341" s="70"/>
      <c r="AP341" s="70"/>
      <c r="AQ341" s="83"/>
      <c r="AR341" s="70"/>
      <c r="AS341" s="70"/>
      <c r="AT341" s="70"/>
      <c r="AU341" s="70">
        <f t="shared" si="46"/>
        <v>1</v>
      </c>
      <c r="AV341" s="70">
        <f t="shared" si="47"/>
        <v>1.5580092007742312E-2</v>
      </c>
      <c r="AW341" s="70" t="e">
        <f t="shared" si="48"/>
        <v>#N/A</v>
      </c>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c r="DX341" s="70"/>
      <c r="DY341" s="70"/>
      <c r="DZ341" s="70"/>
      <c r="EA341" s="70"/>
      <c r="EB341" s="70"/>
      <c r="EC341" s="70"/>
      <c r="ED341" s="70"/>
      <c r="EE341" s="70"/>
      <c r="EF341" s="70"/>
      <c r="EG341" s="70"/>
    </row>
    <row r="342" spans="1:137" outlineLevel="1" x14ac:dyDescent="0.2">
      <c r="A342" s="17">
        <v>52</v>
      </c>
      <c r="B342" s="17">
        <v>1</v>
      </c>
      <c r="C342" s="2">
        <v>0.87720565690026753</v>
      </c>
      <c r="D342" s="2">
        <f t="shared" si="40"/>
        <v>0.12279434309973247</v>
      </c>
      <c r="E342" s="2">
        <f t="shared" si="41"/>
        <v>0.26202762728896578</v>
      </c>
      <c r="F342" s="2">
        <f t="shared" si="42"/>
        <v>0.51188634215904394</v>
      </c>
      <c r="G342" s="2">
        <f t="shared" si="43"/>
        <v>0.37414372710284266</v>
      </c>
      <c r="H342" s="2">
        <v>2.5074073030422046E-2</v>
      </c>
      <c r="I342" s="2">
        <f t="shared" si="44"/>
        <v>1.8464118856165493E-3</v>
      </c>
      <c r="J342" s="2">
        <f t="shared" si="45"/>
        <v>0.37892447554718756</v>
      </c>
      <c r="AJ342" s="70"/>
      <c r="AK342" s="70"/>
      <c r="AL342" s="70"/>
      <c r="AM342" s="70"/>
      <c r="AN342" s="70"/>
      <c r="AO342" s="70"/>
      <c r="AP342" s="70"/>
      <c r="AQ342" s="83"/>
      <c r="AR342" s="70"/>
      <c r="AS342" s="70"/>
      <c r="AT342" s="70"/>
      <c r="AU342" s="70">
        <f t="shared" si="46"/>
        <v>0</v>
      </c>
      <c r="AV342" s="70" t="e">
        <f t="shared" si="47"/>
        <v>#N/A</v>
      </c>
      <c r="AW342" s="70">
        <f t="shared" si="48"/>
        <v>0.87720565690026753</v>
      </c>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c r="EB342" s="70"/>
      <c r="EC342" s="70"/>
      <c r="ED342" s="70"/>
      <c r="EE342" s="70"/>
      <c r="EF342" s="70"/>
      <c r="EG342" s="70"/>
    </row>
    <row r="343" spans="1:137" outlineLevel="1" x14ac:dyDescent="0.2">
      <c r="A343" s="17">
        <v>53</v>
      </c>
      <c r="B343" s="17">
        <v>0</v>
      </c>
      <c r="C343" s="2">
        <v>6.8532730643408701E-2</v>
      </c>
      <c r="D343" s="2">
        <f t="shared" si="40"/>
        <v>-6.8532730643408701E-2</v>
      </c>
      <c r="E343" s="2">
        <f t="shared" si="41"/>
        <v>0.14198845424912479</v>
      </c>
      <c r="F343" s="2">
        <f t="shared" si="42"/>
        <v>-0.3768135536961546</v>
      </c>
      <c r="G343" s="2">
        <f t="shared" si="43"/>
        <v>-0.27124717184803482</v>
      </c>
      <c r="H343" s="2">
        <v>2.029434354974646E-2</v>
      </c>
      <c r="I343" s="2">
        <f t="shared" si="44"/>
        <v>7.7782915710982966E-4</v>
      </c>
      <c r="J343" s="2">
        <f t="shared" si="45"/>
        <v>-0.274042178296521</v>
      </c>
      <c r="AJ343" s="70"/>
      <c r="AK343" s="70"/>
      <c r="AL343" s="70"/>
      <c r="AM343" s="70"/>
      <c r="AN343" s="70"/>
      <c r="AO343" s="70"/>
      <c r="AP343" s="70"/>
      <c r="AQ343" s="83"/>
      <c r="AR343" s="70"/>
      <c r="AS343" s="70"/>
      <c r="AT343" s="70"/>
      <c r="AU343" s="70">
        <f t="shared" si="46"/>
        <v>1</v>
      </c>
      <c r="AV343" s="70">
        <f t="shared" si="47"/>
        <v>6.8532730643408701E-2</v>
      </c>
      <c r="AW343" s="70" t="e">
        <f t="shared" si="48"/>
        <v>#N/A</v>
      </c>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c r="DX343" s="70"/>
      <c r="DY343" s="70"/>
      <c r="DZ343" s="70"/>
      <c r="EA343" s="70"/>
      <c r="EB343" s="70"/>
      <c r="EC343" s="70"/>
      <c r="ED343" s="70"/>
      <c r="EE343" s="70"/>
      <c r="EF343" s="70"/>
      <c r="EG343" s="70"/>
    </row>
    <row r="344" spans="1:137" outlineLevel="1" x14ac:dyDescent="0.2">
      <c r="A344" s="17">
        <v>54</v>
      </c>
      <c r="B344" s="17">
        <v>1</v>
      </c>
      <c r="C344" s="2">
        <v>0.81580409962286848</v>
      </c>
      <c r="D344" s="2">
        <f t="shared" si="40"/>
        <v>0.18419590037713152</v>
      </c>
      <c r="E344" s="2">
        <f t="shared" si="41"/>
        <v>0.40716205366397307</v>
      </c>
      <c r="F344" s="2">
        <f t="shared" si="42"/>
        <v>0.63809251183819193</v>
      </c>
      <c r="G344" s="2">
        <f t="shared" si="43"/>
        <v>0.47516783882137564</v>
      </c>
      <c r="H344" s="2">
        <v>2.5145625318129788E-2</v>
      </c>
      <c r="I344" s="2">
        <f t="shared" si="44"/>
        <v>2.9870812174700528E-3</v>
      </c>
      <c r="J344" s="2">
        <f t="shared" si="45"/>
        <v>0.48125711780184433</v>
      </c>
      <c r="AJ344" s="70"/>
      <c r="AK344" s="70"/>
      <c r="AL344" s="70"/>
      <c r="AM344" s="70"/>
      <c r="AN344" s="70"/>
      <c r="AO344" s="70"/>
      <c r="AP344" s="70"/>
      <c r="AQ344" s="83"/>
      <c r="AR344" s="70"/>
      <c r="AS344" s="70"/>
      <c r="AT344" s="70"/>
      <c r="AU344" s="70">
        <f t="shared" si="46"/>
        <v>0</v>
      </c>
      <c r="AV344" s="70" t="e">
        <f t="shared" si="47"/>
        <v>#N/A</v>
      </c>
      <c r="AW344" s="70">
        <f t="shared" si="48"/>
        <v>0.81580409962286848</v>
      </c>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c r="DX344" s="70"/>
      <c r="DY344" s="70"/>
      <c r="DZ344" s="70"/>
      <c r="EA344" s="70"/>
      <c r="EB344" s="70"/>
      <c r="EC344" s="70"/>
      <c r="ED344" s="70"/>
      <c r="EE344" s="70"/>
      <c r="EF344" s="70"/>
      <c r="EG344" s="70"/>
    </row>
    <row r="345" spans="1:137" outlineLevel="1" x14ac:dyDescent="0.2">
      <c r="A345" s="17">
        <v>55</v>
      </c>
      <c r="B345" s="17">
        <v>0</v>
      </c>
      <c r="C345" s="2">
        <v>0.57273875720812384</v>
      </c>
      <c r="D345" s="2">
        <f t="shared" si="40"/>
        <v>-0.57273875720812384</v>
      </c>
      <c r="E345" s="2">
        <f t="shared" si="41"/>
        <v>1.7007192860315952</v>
      </c>
      <c r="F345" s="2">
        <f t="shared" si="42"/>
        <v>-1.3041162854713513</v>
      </c>
      <c r="G345" s="2">
        <f t="shared" si="43"/>
        <v>-1.1577946453937533</v>
      </c>
      <c r="H345" s="2">
        <v>1.948389874597176E-2</v>
      </c>
      <c r="I345" s="2">
        <f t="shared" si="44"/>
        <v>1.3583118273806451E-2</v>
      </c>
      <c r="J345" s="2">
        <f t="shared" si="45"/>
        <v>-1.1692413665483519</v>
      </c>
      <c r="AJ345" s="70"/>
      <c r="AK345" s="70"/>
      <c r="AL345" s="70"/>
      <c r="AM345" s="70"/>
      <c r="AN345" s="70"/>
      <c r="AO345" s="70"/>
      <c r="AP345" s="70"/>
      <c r="AQ345" s="83"/>
      <c r="AR345" s="70"/>
      <c r="AS345" s="70"/>
      <c r="AT345" s="70"/>
      <c r="AU345" s="70">
        <f t="shared" si="46"/>
        <v>1</v>
      </c>
      <c r="AV345" s="70">
        <f t="shared" si="47"/>
        <v>0.57273875720812384</v>
      </c>
      <c r="AW345" s="70" t="e">
        <f t="shared" si="48"/>
        <v>#N/A</v>
      </c>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c r="DX345" s="70"/>
      <c r="DY345" s="70"/>
      <c r="DZ345" s="70"/>
      <c r="EA345" s="70"/>
      <c r="EB345" s="70"/>
      <c r="EC345" s="70"/>
      <c r="ED345" s="70"/>
      <c r="EE345" s="70"/>
      <c r="EF345" s="70"/>
      <c r="EG345" s="70"/>
    </row>
    <row r="346" spans="1:137" outlineLevel="1" x14ac:dyDescent="0.2">
      <c r="A346" s="17">
        <v>56</v>
      </c>
      <c r="B346" s="17">
        <v>1</v>
      </c>
      <c r="C346" s="2">
        <v>0.85759980369551825</v>
      </c>
      <c r="D346" s="2">
        <f t="shared" si="40"/>
        <v>0.14240019630448175</v>
      </c>
      <c r="E346" s="2">
        <f t="shared" si="41"/>
        <v>0.30723543513088253</v>
      </c>
      <c r="F346" s="2">
        <f t="shared" si="42"/>
        <v>0.55428822387895138</v>
      </c>
      <c r="G346" s="2">
        <f t="shared" si="43"/>
        <v>0.40748624888074214</v>
      </c>
      <c r="H346" s="2">
        <v>2.5330234805517288E-2</v>
      </c>
      <c r="I346" s="2">
        <f t="shared" si="44"/>
        <v>2.2137070419346247E-3</v>
      </c>
      <c r="J346" s="2">
        <f t="shared" si="45"/>
        <v>0.41274727094487462</v>
      </c>
      <c r="AJ346" s="70"/>
      <c r="AK346" s="70"/>
      <c r="AL346" s="70"/>
      <c r="AM346" s="70"/>
      <c r="AN346" s="70"/>
      <c r="AO346" s="70"/>
      <c r="AP346" s="70"/>
      <c r="AQ346" s="83"/>
      <c r="AR346" s="70"/>
      <c r="AS346" s="70"/>
      <c r="AT346" s="70"/>
      <c r="AU346" s="70">
        <f t="shared" si="46"/>
        <v>0</v>
      </c>
      <c r="AV346" s="70" t="e">
        <f t="shared" si="47"/>
        <v>#N/A</v>
      </c>
      <c r="AW346" s="70">
        <f t="shared" si="48"/>
        <v>0.85759980369551825</v>
      </c>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70"/>
      <c r="CD346" s="70"/>
      <c r="CE346" s="70"/>
      <c r="CF346" s="70"/>
      <c r="CG346" s="70"/>
      <c r="CH346" s="70"/>
      <c r="CI346" s="70"/>
      <c r="CJ346" s="70"/>
      <c r="CK346" s="70"/>
      <c r="CL346" s="70"/>
      <c r="CM346" s="70"/>
      <c r="CN346" s="70"/>
      <c r="CO346" s="70"/>
      <c r="CP346" s="70"/>
      <c r="CQ346" s="70"/>
      <c r="CR346" s="70"/>
      <c r="CS346" s="70"/>
      <c r="CT346" s="70"/>
      <c r="CU346" s="70"/>
      <c r="CV346" s="70"/>
      <c r="CW346" s="70"/>
      <c r="CX346" s="70"/>
      <c r="CY346" s="70"/>
      <c r="CZ346" s="70"/>
      <c r="DA346" s="70"/>
      <c r="DB346" s="70"/>
      <c r="DC346" s="70"/>
      <c r="DD346" s="70"/>
      <c r="DE346" s="70"/>
      <c r="DF346" s="70"/>
      <c r="DG346" s="70"/>
      <c r="DH346" s="70"/>
      <c r="DI346" s="70"/>
      <c r="DJ346" s="70"/>
      <c r="DK346" s="70"/>
      <c r="DL346" s="70"/>
      <c r="DM346" s="70"/>
      <c r="DN346" s="70"/>
      <c r="DO346" s="70"/>
      <c r="DP346" s="70"/>
      <c r="DQ346" s="70"/>
      <c r="DR346" s="70"/>
      <c r="DS346" s="70"/>
      <c r="DT346" s="70"/>
      <c r="DU346" s="70"/>
      <c r="DV346" s="70"/>
      <c r="DW346" s="70"/>
      <c r="DX346" s="70"/>
      <c r="DY346" s="70"/>
      <c r="DZ346" s="70"/>
      <c r="EA346" s="70"/>
      <c r="EB346" s="70"/>
      <c r="EC346" s="70"/>
      <c r="ED346" s="70"/>
      <c r="EE346" s="70"/>
      <c r="EF346" s="70"/>
      <c r="EG346" s="70"/>
    </row>
    <row r="347" spans="1:137" outlineLevel="1" x14ac:dyDescent="0.2">
      <c r="A347" s="17">
        <v>57</v>
      </c>
      <c r="B347" s="17">
        <v>1</v>
      </c>
      <c r="C347" s="2">
        <v>0.96663301721415817</v>
      </c>
      <c r="D347" s="2">
        <f t="shared" si="40"/>
        <v>3.3366982785841826E-2</v>
      </c>
      <c r="E347" s="2">
        <f t="shared" si="41"/>
        <v>6.7872724120025416E-2</v>
      </c>
      <c r="F347" s="2">
        <f t="shared" si="42"/>
        <v>0.26052394154861358</v>
      </c>
      <c r="G347" s="2">
        <f t="shared" si="43"/>
        <v>0.18579227645379306</v>
      </c>
      <c r="H347" s="2">
        <v>1.690754018464715E-2</v>
      </c>
      <c r="I347" s="2">
        <f t="shared" si="44"/>
        <v>3.0193747191375922E-4</v>
      </c>
      <c r="J347" s="2">
        <f t="shared" si="45"/>
        <v>0.18738312328977474</v>
      </c>
      <c r="AJ347" s="70"/>
      <c r="AK347" s="70"/>
      <c r="AL347" s="70"/>
      <c r="AM347" s="70"/>
      <c r="AN347" s="70"/>
      <c r="AO347" s="70"/>
      <c r="AP347" s="70"/>
      <c r="AQ347" s="83"/>
      <c r="AR347" s="70"/>
      <c r="AS347" s="70"/>
      <c r="AT347" s="70"/>
      <c r="AU347" s="70">
        <f t="shared" si="46"/>
        <v>0</v>
      </c>
      <c r="AV347" s="70" t="e">
        <f t="shared" si="47"/>
        <v>#N/A</v>
      </c>
      <c r="AW347" s="70">
        <f t="shared" si="48"/>
        <v>0.96663301721415817</v>
      </c>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c r="DN347" s="70"/>
      <c r="DO347" s="70"/>
      <c r="DP347" s="70"/>
      <c r="DQ347" s="70"/>
      <c r="DR347" s="70"/>
      <c r="DS347" s="70"/>
      <c r="DT347" s="70"/>
      <c r="DU347" s="70"/>
      <c r="DV347" s="70"/>
      <c r="DW347" s="70"/>
      <c r="DX347" s="70"/>
      <c r="DY347" s="70"/>
      <c r="DZ347" s="70"/>
      <c r="EA347" s="70"/>
      <c r="EB347" s="70"/>
      <c r="EC347" s="70"/>
      <c r="ED347" s="70"/>
      <c r="EE347" s="70"/>
      <c r="EF347" s="70"/>
      <c r="EG347" s="70"/>
    </row>
    <row r="348" spans="1:137" outlineLevel="1" x14ac:dyDescent="0.2">
      <c r="A348" s="17">
        <v>58</v>
      </c>
      <c r="B348" s="17">
        <v>0</v>
      </c>
      <c r="C348" s="2">
        <v>0.26140211633255245</v>
      </c>
      <c r="D348" s="2">
        <f t="shared" si="40"/>
        <v>-0.26140211633255245</v>
      </c>
      <c r="E348" s="2">
        <f t="shared" si="41"/>
        <v>0.60600328379505597</v>
      </c>
      <c r="F348" s="2">
        <f t="shared" si="42"/>
        <v>-0.77846212739930765</v>
      </c>
      <c r="G348" s="2">
        <f t="shared" si="43"/>
        <v>-0.59490897407328269</v>
      </c>
      <c r="H348" s="2">
        <v>2.1155844393822249E-2</v>
      </c>
      <c r="I348" s="2">
        <f t="shared" si="44"/>
        <v>3.9072779323178417E-3</v>
      </c>
      <c r="J348" s="2">
        <f t="shared" si="45"/>
        <v>-0.6013035171772092</v>
      </c>
      <c r="AJ348" s="70"/>
      <c r="AK348" s="70"/>
      <c r="AL348" s="70"/>
      <c r="AM348" s="70"/>
      <c r="AN348" s="70"/>
      <c r="AO348" s="70"/>
      <c r="AP348" s="70"/>
      <c r="AQ348" s="83"/>
      <c r="AR348" s="70"/>
      <c r="AS348" s="70"/>
      <c r="AT348" s="70"/>
      <c r="AU348" s="70">
        <f t="shared" si="46"/>
        <v>1</v>
      </c>
      <c r="AV348" s="70">
        <f t="shared" si="47"/>
        <v>0.26140211633255245</v>
      </c>
      <c r="AW348" s="70" t="e">
        <f t="shared" si="48"/>
        <v>#N/A</v>
      </c>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c r="DN348" s="70"/>
      <c r="DO348" s="70"/>
      <c r="DP348" s="70"/>
      <c r="DQ348" s="70"/>
      <c r="DR348" s="70"/>
      <c r="DS348" s="70"/>
      <c r="DT348" s="70"/>
      <c r="DU348" s="70"/>
      <c r="DV348" s="70"/>
      <c r="DW348" s="70"/>
      <c r="DX348" s="70"/>
      <c r="DY348" s="70"/>
      <c r="DZ348" s="70"/>
      <c r="EA348" s="70"/>
      <c r="EB348" s="70"/>
      <c r="EC348" s="70"/>
      <c r="ED348" s="70"/>
      <c r="EE348" s="70"/>
      <c r="EF348" s="70"/>
      <c r="EG348" s="70"/>
    </row>
    <row r="349" spans="1:137" outlineLevel="1" x14ac:dyDescent="0.2">
      <c r="A349" s="17">
        <v>59</v>
      </c>
      <c r="B349" s="17">
        <v>1</v>
      </c>
      <c r="C349" s="2">
        <v>0.71252470386781874</v>
      </c>
      <c r="D349" s="2">
        <f t="shared" si="40"/>
        <v>0.28747529613218126</v>
      </c>
      <c r="E349" s="2">
        <f t="shared" si="41"/>
        <v>0.67788139069042086</v>
      </c>
      <c r="F349" s="2">
        <f t="shared" si="42"/>
        <v>0.82333552740691374</v>
      </c>
      <c r="G349" s="2">
        <f t="shared" si="43"/>
        <v>0.63518509981521742</v>
      </c>
      <c r="H349" s="2">
        <v>2.2776054744111297E-2</v>
      </c>
      <c r="I349" s="2">
        <f t="shared" si="44"/>
        <v>4.8112830327237894E-3</v>
      </c>
      <c r="J349" s="2">
        <f t="shared" si="45"/>
        <v>0.64254456110158609</v>
      </c>
      <c r="AJ349" s="70"/>
      <c r="AK349" s="70"/>
      <c r="AL349" s="70"/>
      <c r="AM349" s="70"/>
      <c r="AN349" s="70"/>
      <c r="AO349" s="70"/>
      <c r="AP349" s="70"/>
      <c r="AQ349" s="83"/>
      <c r="AR349" s="70"/>
      <c r="AS349" s="70"/>
      <c r="AT349" s="70"/>
      <c r="AU349" s="70">
        <f t="shared" si="46"/>
        <v>0</v>
      </c>
      <c r="AV349" s="70" t="e">
        <f t="shared" si="47"/>
        <v>#N/A</v>
      </c>
      <c r="AW349" s="70">
        <f t="shared" si="48"/>
        <v>0.71252470386781874</v>
      </c>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c r="DX349" s="70"/>
      <c r="DY349" s="70"/>
      <c r="DZ349" s="70"/>
      <c r="EA349" s="70"/>
      <c r="EB349" s="70"/>
      <c r="EC349" s="70"/>
      <c r="ED349" s="70"/>
      <c r="EE349" s="70"/>
      <c r="EF349" s="70"/>
      <c r="EG349" s="70"/>
    </row>
    <row r="350" spans="1:137" outlineLevel="1" x14ac:dyDescent="0.2">
      <c r="A350" s="17">
        <v>60</v>
      </c>
      <c r="B350" s="17">
        <v>0</v>
      </c>
      <c r="C350" s="2">
        <v>0.33242775146204279</v>
      </c>
      <c r="D350" s="2">
        <f t="shared" si="40"/>
        <v>-0.33242775146204279</v>
      </c>
      <c r="E350" s="2">
        <f t="shared" si="41"/>
        <v>0.80821531410988168</v>
      </c>
      <c r="F350" s="2">
        <f t="shared" si="42"/>
        <v>-0.89900796109371672</v>
      </c>
      <c r="G350" s="2">
        <f t="shared" si="43"/>
        <v>-0.70566649686665983</v>
      </c>
      <c r="H350" s="2">
        <v>1.9764819444739245E-2</v>
      </c>
      <c r="I350" s="2">
        <f t="shared" si="44"/>
        <v>5.1215484177304302E-3</v>
      </c>
      <c r="J350" s="2">
        <f t="shared" si="45"/>
        <v>-0.7127452901815744</v>
      </c>
      <c r="AJ350" s="70"/>
      <c r="AK350" s="70"/>
      <c r="AL350" s="70"/>
      <c r="AM350" s="70"/>
      <c r="AN350" s="70"/>
      <c r="AO350" s="70"/>
      <c r="AP350" s="70"/>
      <c r="AQ350" s="83"/>
      <c r="AR350" s="70"/>
      <c r="AS350" s="70"/>
      <c r="AT350" s="70"/>
      <c r="AU350" s="70">
        <f t="shared" si="46"/>
        <v>1</v>
      </c>
      <c r="AV350" s="70">
        <f t="shared" si="47"/>
        <v>0.33242775146204279</v>
      </c>
      <c r="AW350" s="70" t="e">
        <f t="shared" si="48"/>
        <v>#N/A</v>
      </c>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c r="DN350" s="70"/>
      <c r="DO350" s="70"/>
      <c r="DP350" s="70"/>
      <c r="DQ350" s="70"/>
      <c r="DR350" s="70"/>
      <c r="DS350" s="70"/>
      <c r="DT350" s="70"/>
      <c r="DU350" s="70"/>
      <c r="DV350" s="70"/>
      <c r="DW350" s="70"/>
      <c r="DX350" s="70"/>
      <c r="DY350" s="70"/>
      <c r="DZ350" s="70"/>
      <c r="EA350" s="70"/>
      <c r="EB350" s="70"/>
      <c r="EC350" s="70"/>
      <c r="ED350" s="70"/>
      <c r="EE350" s="70"/>
      <c r="EF350" s="70"/>
      <c r="EG350" s="70"/>
    </row>
    <row r="351" spans="1:137" outlineLevel="1" x14ac:dyDescent="0.2">
      <c r="A351" s="17">
        <v>61</v>
      </c>
      <c r="B351" s="17">
        <v>0</v>
      </c>
      <c r="C351" s="2">
        <v>0.42862515923641897</v>
      </c>
      <c r="D351" s="2">
        <f t="shared" si="40"/>
        <v>-0.42862515923641897</v>
      </c>
      <c r="E351" s="2">
        <f t="shared" si="41"/>
        <v>1.1194196420402556</v>
      </c>
      <c r="F351" s="2">
        <f t="shared" si="42"/>
        <v>-1.0580262955334596</v>
      </c>
      <c r="G351" s="2">
        <f t="shared" si="43"/>
        <v>-0.86612041058701528</v>
      </c>
      <c r="H351" s="2">
        <v>1.8644510894725411E-2</v>
      </c>
      <c r="I351" s="2">
        <f t="shared" si="44"/>
        <v>7.2614747819920531E-3</v>
      </c>
      <c r="J351" s="2">
        <f t="shared" si="45"/>
        <v>-0.87430929419058268</v>
      </c>
      <c r="AJ351" s="70"/>
      <c r="AK351" s="70"/>
      <c r="AL351" s="70"/>
      <c r="AM351" s="70"/>
      <c r="AN351" s="70"/>
      <c r="AO351" s="70"/>
      <c r="AP351" s="70"/>
      <c r="AQ351" s="83"/>
      <c r="AR351" s="70"/>
      <c r="AS351" s="70"/>
      <c r="AT351" s="70"/>
      <c r="AU351" s="70">
        <f t="shared" si="46"/>
        <v>1</v>
      </c>
      <c r="AV351" s="70">
        <f t="shared" si="47"/>
        <v>0.42862515923641897</v>
      </c>
      <c r="AW351" s="70" t="e">
        <f t="shared" si="48"/>
        <v>#N/A</v>
      </c>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c r="CO351" s="70"/>
      <c r="CP351" s="70"/>
      <c r="CQ351" s="70"/>
      <c r="CR351" s="70"/>
      <c r="CS351" s="70"/>
      <c r="CT351" s="70"/>
      <c r="CU351" s="70"/>
      <c r="CV351" s="70"/>
      <c r="CW351" s="70"/>
      <c r="CX351" s="70"/>
      <c r="CY351" s="70"/>
      <c r="CZ351" s="70"/>
      <c r="DA351" s="70"/>
      <c r="DB351" s="70"/>
      <c r="DC351" s="70"/>
      <c r="DD351" s="70"/>
      <c r="DE351" s="70"/>
      <c r="DF351" s="70"/>
      <c r="DG351" s="70"/>
      <c r="DH351" s="70"/>
      <c r="DI351" s="70"/>
      <c r="DJ351" s="70"/>
      <c r="DK351" s="70"/>
      <c r="DL351" s="70"/>
      <c r="DM351" s="70"/>
      <c r="DN351" s="70"/>
      <c r="DO351" s="70"/>
      <c r="DP351" s="70"/>
      <c r="DQ351" s="70"/>
      <c r="DR351" s="70"/>
      <c r="DS351" s="70"/>
      <c r="DT351" s="70"/>
      <c r="DU351" s="70"/>
      <c r="DV351" s="70"/>
      <c r="DW351" s="70"/>
      <c r="DX351" s="70"/>
      <c r="DY351" s="70"/>
      <c r="DZ351" s="70"/>
      <c r="EA351" s="70"/>
      <c r="EB351" s="70"/>
      <c r="EC351" s="70"/>
      <c r="ED351" s="70"/>
      <c r="EE351" s="70"/>
      <c r="EF351" s="70"/>
      <c r="EG351" s="70"/>
    </row>
    <row r="352" spans="1:137" outlineLevel="1" x14ac:dyDescent="0.2">
      <c r="A352" s="17">
        <v>62</v>
      </c>
      <c r="B352" s="17">
        <v>1</v>
      </c>
      <c r="C352" s="2">
        <v>0.70547984984635748</v>
      </c>
      <c r="D352" s="2">
        <f t="shared" si="40"/>
        <v>0.29452015015364252</v>
      </c>
      <c r="E352" s="2">
        <f t="shared" si="41"/>
        <v>0.69775413923794871</v>
      </c>
      <c r="F352" s="2">
        <f t="shared" si="42"/>
        <v>0.83531678974982226</v>
      </c>
      <c r="G352" s="2">
        <f t="shared" si="43"/>
        <v>0.6461229982736173</v>
      </c>
      <c r="H352" s="2">
        <v>2.2582754305502651E-2</v>
      </c>
      <c r="I352" s="2">
        <f t="shared" si="44"/>
        <v>4.934206468212219E-3</v>
      </c>
      <c r="J352" s="2">
        <f t="shared" si="45"/>
        <v>0.65354455539755263</v>
      </c>
      <c r="AJ352" s="70"/>
      <c r="AK352" s="70"/>
      <c r="AL352" s="70"/>
      <c r="AM352" s="70"/>
      <c r="AN352" s="70"/>
      <c r="AO352" s="70"/>
      <c r="AP352" s="70"/>
      <c r="AQ352" s="83"/>
      <c r="AR352" s="70"/>
      <c r="AS352" s="70"/>
      <c r="AT352" s="70"/>
      <c r="AU352" s="70">
        <f t="shared" si="46"/>
        <v>0</v>
      </c>
      <c r="AV352" s="70" t="e">
        <f t="shared" si="47"/>
        <v>#N/A</v>
      </c>
      <c r="AW352" s="70">
        <f t="shared" si="48"/>
        <v>0.70547984984635748</v>
      </c>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c r="CO352" s="70"/>
      <c r="CP352" s="70"/>
      <c r="CQ352" s="70"/>
      <c r="CR352" s="70"/>
      <c r="CS352" s="70"/>
      <c r="CT352" s="70"/>
      <c r="CU352" s="70"/>
      <c r="CV352" s="70"/>
      <c r="CW352" s="70"/>
      <c r="CX352" s="70"/>
      <c r="CY352" s="70"/>
      <c r="CZ352" s="70"/>
      <c r="DA352" s="70"/>
      <c r="DB352" s="70"/>
      <c r="DC352" s="70"/>
      <c r="DD352" s="70"/>
      <c r="DE352" s="70"/>
      <c r="DF352" s="70"/>
      <c r="DG352" s="70"/>
      <c r="DH352" s="70"/>
      <c r="DI352" s="70"/>
      <c r="DJ352" s="70"/>
      <c r="DK352" s="70"/>
      <c r="DL352" s="70"/>
      <c r="DM352" s="70"/>
      <c r="DN352" s="70"/>
      <c r="DO352" s="70"/>
      <c r="DP352" s="70"/>
      <c r="DQ352" s="70"/>
      <c r="DR352" s="70"/>
      <c r="DS352" s="70"/>
      <c r="DT352" s="70"/>
      <c r="DU352" s="70"/>
      <c r="DV352" s="70"/>
      <c r="DW352" s="70"/>
      <c r="DX352" s="70"/>
      <c r="DY352" s="70"/>
      <c r="DZ352" s="70"/>
      <c r="EA352" s="70"/>
      <c r="EB352" s="70"/>
      <c r="EC352" s="70"/>
      <c r="ED352" s="70"/>
      <c r="EE352" s="70"/>
      <c r="EF352" s="70"/>
      <c r="EG352" s="70"/>
    </row>
    <row r="353" spans="1:137" outlineLevel="1" x14ac:dyDescent="0.2">
      <c r="A353" s="17">
        <v>63</v>
      </c>
      <c r="B353" s="17">
        <v>0</v>
      </c>
      <c r="C353" s="2">
        <v>0.67632708336690561</v>
      </c>
      <c r="D353" s="2">
        <f t="shared" si="40"/>
        <v>-0.67632708336690561</v>
      </c>
      <c r="E353" s="2">
        <f t="shared" si="41"/>
        <v>2.2560435793187579</v>
      </c>
      <c r="F353" s="2">
        <f t="shared" si="42"/>
        <v>-1.5020131754810802</v>
      </c>
      <c r="G353" s="2">
        <f t="shared" si="43"/>
        <v>-1.4455236745118771</v>
      </c>
      <c r="H353" s="2">
        <v>2.1791697032600931E-2</v>
      </c>
      <c r="I353" s="2">
        <f t="shared" si="44"/>
        <v>2.3792977004138939E-2</v>
      </c>
      <c r="J353" s="2">
        <f t="shared" si="45"/>
        <v>-1.4615360648611588</v>
      </c>
      <c r="AJ353" s="70"/>
      <c r="AK353" s="70"/>
      <c r="AL353" s="70"/>
      <c r="AM353" s="70"/>
      <c r="AN353" s="70"/>
      <c r="AO353" s="70"/>
      <c r="AP353" s="70"/>
      <c r="AQ353" s="83"/>
      <c r="AR353" s="70"/>
      <c r="AS353" s="70"/>
      <c r="AT353" s="70"/>
      <c r="AU353" s="70">
        <f t="shared" si="46"/>
        <v>1</v>
      </c>
      <c r="AV353" s="70">
        <f t="shared" si="47"/>
        <v>0.67632708336690561</v>
      </c>
      <c r="AW353" s="70" t="e">
        <f t="shared" si="48"/>
        <v>#N/A</v>
      </c>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c r="CO353" s="70"/>
      <c r="CP353" s="70"/>
      <c r="CQ353" s="70"/>
      <c r="CR353" s="70"/>
      <c r="CS353" s="70"/>
      <c r="CT353" s="70"/>
      <c r="CU353" s="70"/>
      <c r="CV353" s="70"/>
      <c r="CW353" s="70"/>
      <c r="CX353" s="70"/>
      <c r="CY353" s="70"/>
      <c r="CZ353" s="70"/>
      <c r="DA353" s="70"/>
      <c r="DB353" s="70"/>
      <c r="DC353" s="70"/>
      <c r="DD353" s="70"/>
      <c r="DE353" s="70"/>
      <c r="DF353" s="70"/>
      <c r="DG353" s="70"/>
      <c r="DH353" s="70"/>
      <c r="DI353" s="70"/>
      <c r="DJ353" s="70"/>
      <c r="DK353" s="70"/>
      <c r="DL353" s="70"/>
      <c r="DM353" s="70"/>
      <c r="DN353" s="70"/>
      <c r="DO353" s="70"/>
      <c r="DP353" s="70"/>
      <c r="DQ353" s="70"/>
      <c r="DR353" s="70"/>
      <c r="DS353" s="70"/>
      <c r="DT353" s="70"/>
      <c r="DU353" s="70"/>
      <c r="DV353" s="70"/>
      <c r="DW353" s="70"/>
      <c r="DX353" s="70"/>
      <c r="DY353" s="70"/>
      <c r="DZ353" s="70"/>
      <c r="EA353" s="70"/>
      <c r="EB353" s="70"/>
      <c r="EC353" s="70"/>
      <c r="ED353" s="70"/>
      <c r="EE353" s="70"/>
      <c r="EF353" s="70"/>
      <c r="EG353" s="70"/>
    </row>
    <row r="354" spans="1:137" outlineLevel="1" x14ac:dyDescent="0.2">
      <c r="A354" s="17">
        <v>64</v>
      </c>
      <c r="B354" s="17">
        <v>1</v>
      </c>
      <c r="C354" s="2">
        <v>0.29567908428073802</v>
      </c>
      <c r="D354" s="2">
        <f t="shared" si="40"/>
        <v>0.70432091571926203</v>
      </c>
      <c r="E354" s="2">
        <f t="shared" si="41"/>
        <v>2.4369611750557412</v>
      </c>
      <c r="F354" s="2">
        <f t="shared" si="42"/>
        <v>1.5610769279749608</v>
      </c>
      <c r="G354" s="2">
        <f t="shared" si="43"/>
        <v>1.5433875424561725</v>
      </c>
      <c r="H354" s="2">
        <v>2.0453155130272484E-2</v>
      </c>
      <c r="I354" s="2">
        <f t="shared" si="44"/>
        <v>2.5388081130489987E-2</v>
      </c>
      <c r="J354" s="2">
        <f t="shared" si="45"/>
        <v>1.5594174347320346</v>
      </c>
      <c r="AJ354" s="70"/>
      <c r="AK354" s="70"/>
      <c r="AL354" s="70"/>
      <c r="AM354" s="70"/>
      <c r="AN354" s="70"/>
      <c r="AO354" s="70"/>
      <c r="AP354" s="70"/>
      <c r="AQ354" s="83"/>
      <c r="AR354" s="70"/>
      <c r="AS354" s="70"/>
      <c r="AT354" s="70"/>
      <c r="AU354" s="70">
        <f t="shared" si="46"/>
        <v>0</v>
      </c>
      <c r="AV354" s="70" t="e">
        <f t="shared" si="47"/>
        <v>#N/A</v>
      </c>
      <c r="AW354" s="70">
        <f t="shared" si="48"/>
        <v>0.29567908428073802</v>
      </c>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c r="DN354" s="70"/>
      <c r="DO354" s="70"/>
      <c r="DP354" s="70"/>
      <c r="DQ354" s="70"/>
      <c r="DR354" s="70"/>
      <c r="DS354" s="70"/>
      <c r="DT354" s="70"/>
      <c r="DU354" s="70"/>
      <c r="DV354" s="70"/>
      <c r="DW354" s="70"/>
      <c r="DX354" s="70"/>
      <c r="DY354" s="70"/>
      <c r="DZ354" s="70"/>
      <c r="EA354" s="70"/>
      <c r="EB354" s="70"/>
      <c r="EC354" s="70"/>
      <c r="ED354" s="70"/>
      <c r="EE354" s="70"/>
      <c r="EF354" s="70"/>
      <c r="EG354" s="70"/>
    </row>
    <row r="355" spans="1:137" outlineLevel="1" x14ac:dyDescent="0.2">
      <c r="A355" s="17">
        <v>65</v>
      </c>
      <c r="B355" s="17">
        <v>1</v>
      </c>
      <c r="C355" s="2">
        <v>0.98690527143054863</v>
      </c>
      <c r="D355" s="2">
        <f t="shared" si="40"/>
        <v>1.3094728569451375E-2</v>
      </c>
      <c r="E355" s="2">
        <f t="shared" si="41"/>
        <v>2.6362440831027633E-2</v>
      </c>
      <c r="F355" s="2">
        <f t="shared" si="42"/>
        <v>0.16236514660181117</v>
      </c>
      <c r="G355" s="2">
        <f t="shared" si="43"/>
        <v>0.11518886950007938</v>
      </c>
      <c r="H355" s="2">
        <v>1.0451224372282049E-2</v>
      </c>
      <c r="I355" s="2">
        <f t="shared" si="44"/>
        <v>7.0808239429762018E-5</v>
      </c>
      <c r="J355" s="2">
        <f t="shared" si="45"/>
        <v>0.11579556152966515</v>
      </c>
      <c r="AJ355" s="70"/>
      <c r="AK355" s="70"/>
      <c r="AL355" s="70"/>
      <c r="AM355" s="70"/>
      <c r="AN355" s="70"/>
      <c r="AO355" s="70"/>
      <c r="AP355" s="70"/>
      <c r="AQ355" s="83"/>
      <c r="AR355" s="70"/>
      <c r="AS355" s="70"/>
      <c r="AT355" s="70"/>
      <c r="AU355" s="70">
        <f t="shared" si="46"/>
        <v>0</v>
      </c>
      <c r="AV355" s="70" t="e">
        <f t="shared" si="47"/>
        <v>#N/A</v>
      </c>
      <c r="AW355" s="70">
        <f t="shared" si="48"/>
        <v>0.98690527143054863</v>
      </c>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c r="DX355" s="70"/>
      <c r="DY355" s="70"/>
      <c r="DZ355" s="70"/>
      <c r="EA355" s="70"/>
      <c r="EB355" s="70"/>
      <c r="EC355" s="70"/>
      <c r="ED355" s="70"/>
      <c r="EE355" s="70"/>
      <c r="EF355" s="70"/>
      <c r="EG355" s="70"/>
    </row>
    <row r="356" spans="1:137" outlineLevel="1" x14ac:dyDescent="0.2">
      <c r="A356" s="17">
        <v>66</v>
      </c>
      <c r="B356" s="17">
        <v>0</v>
      </c>
      <c r="C356" s="2">
        <v>0.22381432891113526</v>
      </c>
      <c r="D356" s="2">
        <f t="shared" ref="D356:D390" si="49">B356 - C356</f>
        <v>-0.22381432891113526</v>
      </c>
      <c r="E356" s="2">
        <f t="shared" ref="E356:E390" si="50">2*IF(B356=1,LN(1/C356),LN(1/(1-C356)))</f>
        <v>0.50672704110315281</v>
      </c>
      <c r="F356" s="2">
        <f t="shared" ref="F356:F390" si="51">SQRT(E356)*SIGN(D356)</f>
        <v>-0.71184762491923281</v>
      </c>
      <c r="G356" s="2">
        <f t="shared" ref="G356:G390" si="52">D356/(SQRT(C356*(1-C356)))</f>
        <v>-0.53698373716452752</v>
      </c>
      <c r="H356" s="2">
        <v>2.191160138624761E-2</v>
      </c>
      <c r="I356" s="2">
        <f t="shared" ref="I356:I390" si="53">(G356^2/2)*H356/(1-H356)^2</f>
        <v>3.3022517107630153E-3</v>
      </c>
      <c r="J356" s="2">
        <f t="shared" ref="J356:J390" si="54">G356/SQRT(1-H356)</f>
        <v>-0.54296530474274485</v>
      </c>
      <c r="AJ356" s="70"/>
      <c r="AK356" s="70"/>
      <c r="AL356" s="70"/>
      <c r="AM356" s="70"/>
      <c r="AN356" s="70"/>
      <c r="AO356" s="70"/>
      <c r="AP356" s="70"/>
      <c r="AQ356" s="83"/>
      <c r="AR356" s="70"/>
      <c r="AS356" s="70"/>
      <c r="AT356" s="70"/>
      <c r="AU356" s="70">
        <f t="shared" ref="AU356:AU390" si="55">1-B356</f>
        <v>1</v>
      </c>
      <c r="AV356" s="70">
        <f t="shared" ref="AV356:AV390" si="56">IF(B356=0,C356,NA())</f>
        <v>0.22381432891113526</v>
      </c>
      <c r="AW356" s="70" t="e">
        <f t="shared" ref="AW356:AW390" si="57">IF(B356=1,C356,NA())</f>
        <v>#N/A</v>
      </c>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c r="DX356" s="70"/>
      <c r="DY356" s="70"/>
      <c r="DZ356" s="70"/>
      <c r="EA356" s="70"/>
      <c r="EB356" s="70"/>
      <c r="EC356" s="70"/>
      <c r="ED356" s="70"/>
      <c r="EE356" s="70"/>
      <c r="EF356" s="70"/>
      <c r="EG356" s="70"/>
    </row>
    <row r="357" spans="1:137" outlineLevel="1" x14ac:dyDescent="0.2">
      <c r="A357" s="17">
        <v>67</v>
      </c>
      <c r="B357" s="17">
        <v>1</v>
      </c>
      <c r="C357" s="2">
        <v>0.47936635584678616</v>
      </c>
      <c r="D357" s="2">
        <f t="shared" si="49"/>
        <v>0.52063364415321378</v>
      </c>
      <c r="E357" s="2">
        <f t="shared" si="50"/>
        <v>1.4705802783101287</v>
      </c>
      <c r="F357" s="2">
        <f t="shared" si="51"/>
        <v>1.2126748444286823</v>
      </c>
      <c r="G357" s="2">
        <f t="shared" si="52"/>
        <v>1.0421550557740544</v>
      </c>
      <c r="H357" s="2">
        <v>1.8578623179050634E-2</v>
      </c>
      <c r="I357" s="2">
        <f t="shared" si="53"/>
        <v>1.0474593635789011E-2</v>
      </c>
      <c r="J357" s="2">
        <f t="shared" si="54"/>
        <v>1.0519729751713085</v>
      </c>
      <c r="AJ357" s="70"/>
      <c r="AK357" s="70"/>
      <c r="AL357" s="70"/>
      <c r="AM357" s="70"/>
      <c r="AN357" s="70"/>
      <c r="AO357" s="70"/>
      <c r="AP357" s="70"/>
      <c r="AQ357" s="83"/>
      <c r="AR357" s="70"/>
      <c r="AS357" s="70"/>
      <c r="AT357" s="70"/>
      <c r="AU357" s="70">
        <f t="shared" si="55"/>
        <v>0</v>
      </c>
      <c r="AV357" s="70" t="e">
        <f t="shared" si="56"/>
        <v>#N/A</v>
      </c>
      <c r="AW357" s="70">
        <f t="shared" si="57"/>
        <v>0.47936635584678616</v>
      </c>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c r="DX357" s="70"/>
      <c r="DY357" s="70"/>
      <c r="DZ357" s="70"/>
      <c r="EA357" s="70"/>
      <c r="EB357" s="70"/>
      <c r="EC357" s="70"/>
      <c r="ED357" s="70"/>
      <c r="EE357" s="70"/>
      <c r="EF357" s="70"/>
      <c r="EG357" s="70"/>
    </row>
    <row r="358" spans="1:137" outlineLevel="1" x14ac:dyDescent="0.2">
      <c r="A358" s="17">
        <v>68</v>
      </c>
      <c r="B358" s="17">
        <v>1</v>
      </c>
      <c r="C358" s="2">
        <v>0.63788795957239786</v>
      </c>
      <c r="D358" s="2">
        <f t="shared" si="49"/>
        <v>0.36211204042760214</v>
      </c>
      <c r="E358" s="2">
        <f t="shared" si="50"/>
        <v>0.89918524602884276</v>
      </c>
      <c r="F358" s="2">
        <f t="shared" si="51"/>
        <v>0.94825378777458236</v>
      </c>
      <c r="G358" s="2">
        <f t="shared" si="52"/>
        <v>0.75344105364477132</v>
      </c>
      <c r="H358" s="2">
        <v>2.08149450938514E-2</v>
      </c>
      <c r="I358" s="2">
        <f t="shared" si="53"/>
        <v>6.1618948389665388E-3</v>
      </c>
      <c r="J358" s="2">
        <f t="shared" si="54"/>
        <v>0.76140704750467203</v>
      </c>
      <c r="AJ358" s="70"/>
      <c r="AK358" s="70"/>
      <c r="AL358" s="70"/>
      <c r="AM358" s="70"/>
      <c r="AN358" s="70"/>
      <c r="AO358" s="70"/>
      <c r="AP358" s="70"/>
      <c r="AQ358" s="83"/>
      <c r="AR358" s="70"/>
      <c r="AS358" s="70"/>
      <c r="AT358" s="70"/>
      <c r="AU358" s="70">
        <f t="shared" si="55"/>
        <v>0</v>
      </c>
      <c r="AV358" s="70" t="e">
        <f t="shared" si="56"/>
        <v>#N/A</v>
      </c>
      <c r="AW358" s="70">
        <f t="shared" si="57"/>
        <v>0.63788795957239786</v>
      </c>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c r="CS358" s="70"/>
      <c r="CT358" s="70"/>
      <c r="CU358" s="70"/>
      <c r="CV358" s="70"/>
      <c r="CW358" s="70"/>
      <c r="CX358" s="70"/>
      <c r="CY358" s="70"/>
      <c r="CZ358" s="70"/>
      <c r="DA358" s="70"/>
      <c r="DB358" s="70"/>
      <c r="DC358" s="70"/>
      <c r="DD358" s="70"/>
      <c r="DE358" s="70"/>
      <c r="DF358" s="70"/>
      <c r="DG358" s="70"/>
      <c r="DH358" s="70"/>
      <c r="DI358" s="70"/>
      <c r="DJ358" s="70"/>
      <c r="DK358" s="70"/>
      <c r="DL358" s="70"/>
      <c r="DM358" s="70"/>
      <c r="DN358" s="70"/>
      <c r="DO358" s="70"/>
      <c r="DP358" s="70"/>
      <c r="DQ358" s="70"/>
      <c r="DR358" s="70"/>
      <c r="DS358" s="70"/>
      <c r="DT358" s="70"/>
      <c r="DU358" s="70"/>
      <c r="DV358" s="70"/>
      <c r="DW358" s="70"/>
      <c r="DX358" s="70"/>
      <c r="DY358" s="70"/>
      <c r="DZ358" s="70"/>
      <c r="EA358" s="70"/>
      <c r="EB358" s="70"/>
      <c r="EC358" s="70"/>
      <c r="ED358" s="70"/>
      <c r="EE358" s="70"/>
      <c r="EF358" s="70"/>
      <c r="EG358" s="70"/>
    </row>
    <row r="359" spans="1:137" outlineLevel="1" x14ac:dyDescent="0.2">
      <c r="A359" s="17">
        <v>69</v>
      </c>
      <c r="B359" s="17">
        <v>1</v>
      </c>
      <c r="C359" s="2">
        <v>0.82088004238031809</v>
      </c>
      <c r="D359" s="2">
        <f t="shared" si="49"/>
        <v>0.17911995761968191</v>
      </c>
      <c r="E359" s="2">
        <f t="shared" si="50"/>
        <v>0.39475658360055116</v>
      </c>
      <c r="F359" s="2">
        <f t="shared" si="51"/>
        <v>0.62829657296578589</v>
      </c>
      <c r="G359" s="2">
        <f t="shared" si="52"/>
        <v>0.46712395617733993</v>
      </c>
      <c r="H359" s="2">
        <v>2.5207545051930472E-2</v>
      </c>
      <c r="I359" s="2">
        <f t="shared" si="53"/>
        <v>2.8942798372545275E-3</v>
      </c>
      <c r="J359" s="2">
        <f t="shared" si="54"/>
        <v>0.47312517871119208</v>
      </c>
      <c r="AJ359" s="70"/>
      <c r="AK359" s="70"/>
      <c r="AL359" s="70"/>
      <c r="AM359" s="70"/>
      <c r="AN359" s="70"/>
      <c r="AO359" s="70"/>
      <c r="AP359" s="70"/>
      <c r="AQ359" s="83"/>
      <c r="AR359" s="70"/>
      <c r="AS359" s="70"/>
      <c r="AT359" s="70"/>
      <c r="AU359" s="70">
        <f t="shared" si="55"/>
        <v>0</v>
      </c>
      <c r="AV359" s="70" t="e">
        <f t="shared" si="56"/>
        <v>#N/A</v>
      </c>
      <c r="AW359" s="70">
        <f t="shared" si="57"/>
        <v>0.82088004238031809</v>
      </c>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70"/>
      <c r="DZ359" s="70"/>
      <c r="EA359" s="70"/>
      <c r="EB359" s="70"/>
      <c r="EC359" s="70"/>
      <c r="ED359" s="70"/>
      <c r="EE359" s="70"/>
      <c r="EF359" s="70"/>
      <c r="EG359" s="70"/>
    </row>
    <row r="360" spans="1:137" outlineLevel="1" x14ac:dyDescent="0.2">
      <c r="A360" s="17">
        <v>70</v>
      </c>
      <c r="B360" s="17">
        <v>0</v>
      </c>
      <c r="C360" s="2">
        <v>0.20652254590669222</v>
      </c>
      <c r="D360" s="2">
        <f t="shared" si="49"/>
        <v>-0.20652254590669222</v>
      </c>
      <c r="E360" s="2">
        <f t="shared" si="50"/>
        <v>0.46266030532056979</v>
      </c>
      <c r="F360" s="2">
        <f t="shared" si="51"/>
        <v>-0.68019137404157792</v>
      </c>
      <c r="G360" s="2">
        <f t="shared" si="52"/>
        <v>-0.51017178871346525</v>
      </c>
      <c r="H360" s="2">
        <v>2.2221384757901134E-2</v>
      </c>
      <c r="I360" s="2">
        <f t="shared" si="53"/>
        <v>3.0247740123245659E-3</v>
      </c>
      <c r="J360" s="2">
        <f t="shared" si="54"/>
        <v>-0.51593640372576799</v>
      </c>
      <c r="AJ360" s="70"/>
      <c r="AK360" s="70"/>
      <c r="AL360" s="70"/>
      <c r="AM360" s="70"/>
      <c r="AN360" s="70"/>
      <c r="AO360" s="70"/>
      <c r="AP360" s="70"/>
      <c r="AQ360" s="83"/>
      <c r="AR360" s="70"/>
      <c r="AS360" s="70"/>
      <c r="AT360" s="70"/>
      <c r="AU360" s="70">
        <f t="shared" si="55"/>
        <v>1</v>
      </c>
      <c r="AV360" s="70">
        <f t="shared" si="56"/>
        <v>0.20652254590669222</v>
      </c>
      <c r="AW360" s="70" t="e">
        <f t="shared" si="57"/>
        <v>#N/A</v>
      </c>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c r="CO360" s="70"/>
      <c r="CP360" s="70"/>
      <c r="CQ360" s="70"/>
      <c r="CR360" s="70"/>
      <c r="CS360" s="70"/>
      <c r="CT360" s="70"/>
      <c r="CU360" s="70"/>
      <c r="CV360" s="70"/>
      <c r="CW360" s="70"/>
      <c r="CX360" s="70"/>
      <c r="CY360" s="70"/>
      <c r="CZ360" s="70"/>
      <c r="DA360" s="70"/>
      <c r="DB360" s="70"/>
      <c r="DC360" s="70"/>
      <c r="DD360" s="70"/>
      <c r="DE360" s="70"/>
      <c r="DF360" s="70"/>
      <c r="DG360" s="70"/>
      <c r="DH360" s="70"/>
      <c r="DI360" s="70"/>
      <c r="DJ360" s="70"/>
      <c r="DK360" s="70"/>
      <c r="DL360" s="70"/>
      <c r="DM360" s="70"/>
      <c r="DN360" s="70"/>
      <c r="DO360" s="70"/>
      <c r="DP360" s="70"/>
      <c r="DQ360" s="70"/>
      <c r="DR360" s="70"/>
      <c r="DS360" s="70"/>
      <c r="DT360" s="70"/>
      <c r="DU360" s="70"/>
      <c r="DV360" s="70"/>
      <c r="DW360" s="70"/>
      <c r="DX360" s="70"/>
      <c r="DY360" s="70"/>
      <c r="DZ360" s="70"/>
      <c r="EA360" s="70"/>
      <c r="EB360" s="70"/>
      <c r="EC360" s="70"/>
      <c r="ED360" s="70"/>
      <c r="EE360" s="70"/>
      <c r="EF360" s="70"/>
      <c r="EG360" s="70"/>
    </row>
    <row r="361" spans="1:137" outlineLevel="1" x14ac:dyDescent="0.2">
      <c r="A361" s="17">
        <v>71</v>
      </c>
      <c r="B361" s="17">
        <v>1</v>
      </c>
      <c r="C361" s="2">
        <v>0.97440492441254611</v>
      </c>
      <c r="D361" s="2">
        <f t="shared" si="49"/>
        <v>2.5595075587453886E-2</v>
      </c>
      <c r="E361" s="2">
        <f t="shared" si="50"/>
        <v>5.1856656499431969E-2</v>
      </c>
      <c r="F361" s="2">
        <f t="shared" si="51"/>
        <v>0.22772056670277274</v>
      </c>
      <c r="G361" s="2">
        <f t="shared" si="52"/>
        <v>0.16207217977582833</v>
      </c>
      <c r="H361" s="2">
        <v>1.4924437027649961E-2</v>
      </c>
      <c r="I361" s="2">
        <f t="shared" si="53"/>
        <v>2.0199741765497374E-4</v>
      </c>
      <c r="J361" s="2">
        <f t="shared" si="54"/>
        <v>0.1632953058024611</v>
      </c>
      <c r="AJ361" s="70"/>
      <c r="AK361" s="70"/>
      <c r="AL361" s="70"/>
      <c r="AM361" s="70"/>
      <c r="AN361" s="70"/>
      <c r="AO361" s="70"/>
      <c r="AP361" s="70"/>
      <c r="AQ361" s="83"/>
      <c r="AR361" s="70"/>
      <c r="AS361" s="70"/>
      <c r="AT361" s="70"/>
      <c r="AU361" s="70">
        <f t="shared" si="55"/>
        <v>0</v>
      </c>
      <c r="AV361" s="70" t="e">
        <f t="shared" si="56"/>
        <v>#N/A</v>
      </c>
      <c r="AW361" s="70">
        <f t="shared" si="57"/>
        <v>0.97440492441254611</v>
      </c>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70"/>
      <c r="CV361" s="70"/>
      <c r="CW361" s="70"/>
      <c r="CX361" s="70"/>
      <c r="CY361" s="70"/>
      <c r="CZ361" s="70"/>
      <c r="DA361" s="70"/>
      <c r="DB361" s="70"/>
      <c r="DC361" s="70"/>
      <c r="DD361" s="70"/>
      <c r="DE361" s="70"/>
      <c r="DF361" s="70"/>
      <c r="DG361" s="70"/>
      <c r="DH361" s="70"/>
      <c r="DI361" s="70"/>
      <c r="DJ361" s="70"/>
      <c r="DK361" s="70"/>
      <c r="DL361" s="70"/>
      <c r="DM361" s="70"/>
      <c r="DN361" s="70"/>
      <c r="DO361" s="70"/>
      <c r="DP361" s="70"/>
      <c r="DQ361" s="70"/>
      <c r="DR361" s="70"/>
      <c r="DS361" s="70"/>
      <c r="DT361" s="70"/>
      <c r="DU361" s="70"/>
      <c r="DV361" s="70"/>
      <c r="DW361" s="70"/>
      <c r="DX361" s="70"/>
      <c r="DY361" s="70"/>
      <c r="DZ361" s="70"/>
      <c r="EA361" s="70"/>
      <c r="EB361" s="70"/>
      <c r="EC361" s="70"/>
      <c r="ED361" s="70"/>
      <c r="EE361" s="70"/>
      <c r="EF361" s="70"/>
      <c r="EG361" s="70"/>
    </row>
    <row r="362" spans="1:137" outlineLevel="1" x14ac:dyDescent="0.2">
      <c r="A362" s="17">
        <v>72</v>
      </c>
      <c r="B362" s="17">
        <v>1</v>
      </c>
      <c r="C362" s="2">
        <v>0.11619641369908798</v>
      </c>
      <c r="D362" s="2">
        <f t="shared" si="49"/>
        <v>0.88380358630091205</v>
      </c>
      <c r="E362" s="2">
        <f t="shared" si="50"/>
        <v>4.3049465964308125</v>
      </c>
      <c r="F362" s="2">
        <f t="shared" si="51"/>
        <v>2.0748365228207288</v>
      </c>
      <c r="G362" s="2">
        <f t="shared" si="52"/>
        <v>2.7579190690550637</v>
      </c>
      <c r="H362" s="2">
        <v>2.2500971012321139E-2</v>
      </c>
      <c r="I362" s="2">
        <f t="shared" si="53"/>
        <v>8.9557431707264393E-2</v>
      </c>
      <c r="J362" s="2">
        <f t="shared" si="54"/>
        <v>2.7894806320393251</v>
      </c>
      <c r="AJ362" s="70"/>
      <c r="AK362" s="70"/>
      <c r="AL362" s="70"/>
      <c r="AM362" s="70"/>
      <c r="AN362" s="70"/>
      <c r="AO362" s="70"/>
      <c r="AP362" s="70"/>
      <c r="AQ362" s="83"/>
      <c r="AR362" s="70"/>
      <c r="AS362" s="70"/>
      <c r="AT362" s="70"/>
      <c r="AU362" s="70">
        <f t="shared" si="55"/>
        <v>0</v>
      </c>
      <c r="AV362" s="70" t="e">
        <f t="shared" si="56"/>
        <v>#N/A</v>
      </c>
      <c r="AW362" s="70">
        <f t="shared" si="57"/>
        <v>0.11619641369908798</v>
      </c>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c r="CO362" s="70"/>
      <c r="CP362" s="70"/>
      <c r="CQ362" s="70"/>
      <c r="CR362" s="70"/>
      <c r="CS362" s="70"/>
      <c r="CT362" s="70"/>
      <c r="CU362" s="70"/>
      <c r="CV362" s="70"/>
      <c r="CW362" s="70"/>
      <c r="CX362" s="70"/>
      <c r="CY362" s="70"/>
      <c r="CZ362" s="70"/>
      <c r="DA362" s="70"/>
      <c r="DB362" s="70"/>
      <c r="DC362" s="70"/>
      <c r="DD362" s="70"/>
      <c r="DE362" s="70"/>
      <c r="DF362" s="70"/>
      <c r="DG362" s="70"/>
      <c r="DH362" s="70"/>
      <c r="DI362" s="70"/>
      <c r="DJ362" s="70"/>
      <c r="DK362" s="70"/>
      <c r="DL362" s="70"/>
      <c r="DM362" s="70"/>
      <c r="DN362" s="70"/>
      <c r="DO362" s="70"/>
      <c r="DP362" s="70"/>
      <c r="DQ362" s="70"/>
      <c r="DR362" s="70"/>
      <c r="DS362" s="70"/>
      <c r="DT362" s="70"/>
      <c r="DU362" s="70"/>
      <c r="DV362" s="70"/>
      <c r="DW362" s="70"/>
      <c r="DX362" s="70"/>
      <c r="DY362" s="70"/>
      <c r="DZ362" s="70"/>
      <c r="EA362" s="70"/>
      <c r="EB362" s="70"/>
      <c r="EC362" s="70"/>
      <c r="ED362" s="70"/>
      <c r="EE362" s="70"/>
      <c r="EF362" s="70"/>
      <c r="EG362" s="70"/>
    </row>
    <row r="363" spans="1:137" outlineLevel="1" x14ac:dyDescent="0.2">
      <c r="A363" s="17">
        <v>73</v>
      </c>
      <c r="B363" s="17">
        <v>1</v>
      </c>
      <c r="C363" s="2">
        <v>0.95056931254568811</v>
      </c>
      <c r="D363" s="2">
        <f t="shared" si="49"/>
        <v>4.9430687454311895E-2</v>
      </c>
      <c r="E363" s="2">
        <f t="shared" si="50"/>
        <v>0.10138839503608175</v>
      </c>
      <c r="F363" s="2">
        <f t="shared" si="51"/>
        <v>0.31841544409164851</v>
      </c>
      <c r="G363" s="2">
        <f t="shared" si="52"/>
        <v>0.22803758359022996</v>
      </c>
      <c r="H363" s="2">
        <v>1.9899698142256273E-2</v>
      </c>
      <c r="I363" s="2">
        <f t="shared" si="53"/>
        <v>5.3862723325311882E-4</v>
      </c>
      <c r="J363" s="2">
        <f t="shared" si="54"/>
        <v>0.23034095805451421</v>
      </c>
      <c r="AJ363" s="70"/>
      <c r="AK363" s="70"/>
      <c r="AL363" s="70"/>
      <c r="AM363" s="70"/>
      <c r="AN363" s="70"/>
      <c r="AO363" s="70"/>
      <c r="AP363" s="70"/>
      <c r="AQ363" s="83"/>
      <c r="AR363" s="70"/>
      <c r="AS363" s="70"/>
      <c r="AT363" s="70"/>
      <c r="AU363" s="70">
        <f t="shared" si="55"/>
        <v>0</v>
      </c>
      <c r="AV363" s="70" t="e">
        <f t="shared" si="56"/>
        <v>#N/A</v>
      </c>
      <c r="AW363" s="70">
        <f t="shared" si="57"/>
        <v>0.95056931254568811</v>
      </c>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c r="DX363" s="70"/>
      <c r="DY363" s="70"/>
      <c r="DZ363" s="70"/>
      <c r="EA363" s="70"/>
      <c r="EB363" s="70"/>
      <c r="EC363" s="70"/>
      <c r="ED363" s="70"/>
      <c r="EE363" s="70"/>
      <c r="EF363" s="70"/>
      <c r="EG363" s="70"/>
    </row>
    <row r="364" spans="1:137" outlineLevel="1" x14ac:dyDescent="0.2">
      <c r="A364" s="17">
        <v>74</v>
      </c>
      <c r="B364" s="17">
        <v>1</v>
      </c>
      <c r="C364" s="2">
        <v>0.39554799410802871</v>
      </c>
      <c r="D364" s="2">
        <f t="shared" si="49"/>
        <v>0.60445200589197134</v>
      </c>
      <c r="E364" s="2">
        <f t="shared" si="50"/>
        <v>1.8549662973480445</v>
      </c>
      <c r="F364" s="2">
        <f t="shared" si="51"/>
        <v>1.3619714744986564</v>
      </c>
      <c r="G364" s="2">
        <f t="shared" si="52"/>
        <v>1.2361788768534614</v>
      </c>
      <c r="H364" s="2">
        <v>1.8893989070012093E-2</v>
      </c>
      <c r="I364" s="2">
        <f t="shared" si="53"/>
        <v>1.4997691906837054E-2</v>
      </c>
      <c r="J364" s="2">
        <f t="shared" si="54"/>
        <v>1.2480251868205356</v>
      </c>
      <c r="AJ364" s="70"/>
      <c r="AK364" s="70"/>
      <c r="AL364" s="70"/>
      <c r="AM364" s="70"/>
      <c r="AN364" s="70"/>
      <c r="AO364" s="70"/>
      <c r="AP364" s="70"/>
      <c r="AQ364" s="83"/>
      <c r="AR364" s="70"/>
      <c r="AS364" s="70"/>
      <c r="AT364" s="70"/>
      <c r="AU364" s="70">
        <f t="shared" si="55"/>
        <v>0</v>
      </c>
      <c r="AV364" s="70" t="e">
        <f t="shared" si="56"/>
        <v>#N/A</v>
      </c>
      <c r="AW364" s="70">
        <f t="shared" si="57"/>
        <v>0.39554799410802871</v>
      </c>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c r="CO364" s="70"/>
      <c r="CP364" s="70"/>
      <c r="CQ364" s="70"/>
      <c r="CR364" s="70"/>
      <c r="CS364" s="70"/>
      <c r="CT364" s="70"/>
      <c r="CU364" s="70"/>
      <c r="CV364" s="70"/>
      <c r="CW364" s="70"/>
      <c r="CX364" s="70"/>
      <c r="CY364" s="70"/>
      <c r="CZ364" s="70"/>
      <c r="DA364" s="70"/>
      <c r="DB364" s="70"/>
      <c r="DC364" s="70"/>
      <c r="DD364" s="70"/>
      <c r="DE364" s="70"/>
      <c r="DF364" s="70"/>
      <c r="DG364" s="70"/>
      <c r="DH364" s="70"/>
      <c r="DI364" s="70"/>
      <c r="DJ364" s="70"/>
      <c r="DK364" s="70"/>
      <c r="DL364" s="70"/>
      <c r="DM364" s="70"/>
      <c r="DN364" s="70"/>
      <c r="DO364" s="70"/>
      <c r="DP364" s="70"/>
      <c r="DQ364" s="70"/>
      <c r="DR364" s="70"/>
      <c r="DS364" s="70"/>
      <c r="DT364" s="70"/>
      <c r="DU364" s="70"/>
      <c r="DV364" s="70"/>
      <c r="DW364" s="70"/>
      <c r="DX364" s="70"/>
      <c r="DY364" s="70"/>
      <c r="DZ364" s="70"/>
      <c r="EA364" s="70"/>
      <c r="EB364" s="70"/>
      <c r="EC364" s="70"/>
      <c r="ED364" s="70"/>
      <c r="EE364" s="70"/>
      <c r="EF364" s="70"/>
      <c r="EG364" s="70"/>
    </row>
    <row r="365" spans="1:137" outlineLevel="1" x14ac:dyDescent="0.2">
      <c r="A365" s="17">
        <v>75</v>
      </c>
      <c r="B365" s="17">
        <v>1</v>
      </c>
      <c r="C365" s="2">
        <v>0.74619334887940547</v>
      </c>
      <c r="D365" s="2">
        <f t="shared" si="49"/>
        <v>0.25380665112059453</v>
      </c>
      <c r="E365" s="2">
        <f t="shared" si="50"/>
        <v>0.58554106311285159</v>
      </c>
      <c r="F365" s="2">
        <f t="shared" si="51"/>
        <v>0.76520654931387744</v>
      </c>
      <c r="G365" s="2">
        <f t="shared" si="52"/>
        <v>0.58321114221110593</v>
      </c>
      <c r="H365" s="2">
        <v>2.3683401761595266E-2</v>
      </c>
      <c r="I365" s="2">
        <f t="shared" si="53"/>
        <v>4.2255609098673782E-3</v>
      </c>
      <c r="J365" s="2">
        <f t="shared" si="54"/>
        <v>0.59024249838987752</v>
      </c>
      <c r="AJ365" s="70"/>
      <c r="AK365" s="70"/>
      <c r="AL365" s="70"/>
      <c r="AM365" s="70"/>
      <c r="AN365" s="70"/>
      <c r="AO365" s="70"/>
      <c r="AP365" s="70"/>
      <c r="AQ365" s="83"/>
      <c r="AR365" s="70"/>
      <c r="AS365" s="70"/>
      <c r="AT365" s="70"/>
      <c r="AU365" s="70">
        <f t="shared" si="55"/>
        <v>0</v>
      </c>
      <c r="AV365" s="70" t="e">
        <f t="shared" si="56"/>
        <v>#N/A</v>
      </c>
      <c r="AW365" s="70">
        <f t="shared" si="57"/>
        <v>0.74619334887940547</v>
      </c>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c r="BV365" s="70"/>
      <c r="BW365" s="70"/>
      <c r="BX365" s="70"/>
      <c r="BY365" s="70"/>
      <c r="BZ365" s="70"/>
      <c r="CA365" s="70"/>
      <c r="CB365" s="70"/>
      <c r="CC365" s="70"/>
      <c r="CD365" s="70"/>
      <c r="CE365" s="70"/>
      <c r="CF365" s="70"/>
      <c r="CG365" s="70"/>
      <c r="CH365" s="70"/>
      <c r="CI365" s="70"/>
      <c r="CJ365" s="70"/>
      <c r="CK365" s="70"/>
      <c r="CL365" s="70"/>
      <c r="CM365" s="70"/>
      <c r="CN365" s="70"/>
      <c r="CO365" s="70"/>
      <c r="CP365" s="70"/>
      <c r="CQ365" s="70"/>
      <c r="CR365" s="70"/>
      <c r="CS365" s="70"/>
      <c r="CT365" s="70"/>
      <c r="CU365" s="70"/>
      <c r="CV365" s="70"/>
      <c r="CW365" s="70"/>
      <c r="CX365" s="70"/>
      <c r="CY365" s="70"/>
      <c r="CZ365" s="70"/>
      <c r="DA365" s="70"/>
      <c r="DB365" s="70"/>
      <c r="DC365" s="70"/>
      <c r="DD365" s="70"/>
      <c r="DE365" s="70"/>
      <c r="DF365" s="70"/>
      <c r="DG365" s="70"/>
      <c r="DH365" s="70"/>
      <c r="DI365" s="70"/>
      <c r="DJ365" s="70"/>
      <c r="DK365" s="70"/>
      <c r="DL365" s="70"/>
      <c r="DM365" s="70"/>
      <c r="DN365" s="70"/>
      <c r="DO365" s="70"/>
      <c r="DP365" s="70"/>
      <c r="DQ365" s="70"/>
      <c r="DR365" s="70"/>
      <c r="DS365" s="70"/>
      <c r="DT365" s="70"/>
      <c r="DU365" s="70"/>
      <c r="DV365" s="70"/>
      <c r="DW365" s="70"/>
      <c r="DX365" s="70"/>
      <c r="DY365" s="70"/>
      <c r="DZ365" s="70"/>
      <c r="EA365" s="70"/>
      <c r="EB365" s="70"/>
      <c r="EC365" s="70"/>
      <c r="ED365" s="70"/>
      <c r="EE365" s="70"/>
      <c r="EF365" s="70"/>
      <c r="EG365" s="70"/>
    </row>
    <row r="366" spans="1:137" outlineLevel="1" x14ac:dyDescent="0.2">
      <c r="A366" s="17">
        <v>76</v>
      </c>
      <c r="B366" s="17">
        <v>1</v>
      </c>
      <c r="C366" s="2">
        <v>0.49642812494546107</v>
      </c>
      <c r="D366" s="2">
        <f t="shared" si="49"/>
        <v>0.50357187505453893</v>
      </c>
      <c r="E366" s="2">
        <f t="shared" si="50"/>
        <v>1.4006331388588007</v>
      </c>
      <c r="F366" s="2">
        <f t="shared" si="51"/>
        <v>1.1834834763775963</v>
      </c>
      <c r="G366" s="2">
        <f t="shared" si="52"/>
        <v>1.0071694499596424</v>
      </c>
      <c r="H366" s="2">
        <v>1.864567891220158E-2</v>
      </c>
      <c r="I366" s="2">
        <f t="shared" si="53"/>
        <v>9.8197767740805138E-3</v>
      </c>
      <c r="J366" s="2">
        <f t="shared" si="54"/>
        <v>1.0166925108756983</v>
      </c>
      <c r="AJ366" s="70"/>
      <c r="AK366" s="70"/>
      <c r="AL366" s="70"/>
      <c r="AM366" s="70"/>
      <c r="AN366" s="70"/>
      <c r="AO366" s="70"/>
      <c r="AP366" s="70"/>
      <c r="AQ366" s="83"/>
      <c r="AR366" s="70"/>
      <c r="AS366" s="70"/>
      <c r="AT366" s="70"/>
      <c r="AU366" s="70">
        <f t="shared" si="55"/>
        <v>0</v>
      </c>
      <c r="AV366" s="70" t="e">
        <f t="shared" si="56"/>
        <v>#N/A</v>
      </c>
      <c r="AW366" s="70">
        <f t="shared" si="57"/>
        <v>0.49642812494546107</v>
      </c>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c r="CO366" s="70"/>
      <c r="CP366" s="70"/>
      <c r="CQ366" s="70"/>
      <c r="CR366" s="70"/>
      <c r="CS366" s="70"/>
      <c r="CT366" s="70"/>
      <c r="CU366" s="70"/>
      <c r="CV366" s="70"/>
      <c r="CW366" s="70"/>
      <c r="CX366" s="70"/>
      <c r="CY366" s="70"/>
      <c r="CZ366" s="70"/>
      <c r="DA366" s="70"/>
      <c r="DB366" s="70"/>
      <c r="DC366" s="70"/>
      <c r="DD366" s="70"/>
      <c r="DE366" s="70"/>
      <c r="DF366" s="70"/>
      <c r="DG366" s="70"/>
      <c r="DH366" s="70"/>
      <c r="DI366" s="70"/>
      <c r="DJ366" s="70"/>
      <c r="DK366" s="70"/>
      <c r="DL366" s="70"/>
      <c r="DM366" s="70"/>
      <c r="DN366" s="70"/>
      <c r="DO366" s="70"/>
      <c r="DP366" s="70"/>
      <c r="DQ366" s="70"/>
      <c r="DR366" s="70"/>
      <c r="DS366" s="70"/>
      <c r="DT366" s="70"/>
      <c r="DU366" s="70"/>
      <c r="DV366" s="70"/>
      <c r="DW366" s="70"/>
      <c r="DX366" s="70"/>
      <c r="DY366" s="70"/>
      <c r="DZ366" s="70"/>
      <c r="EA366" s="70"/>
      <c r="EB366" s="70"/>
      <c r="EC366" s="70"/>
      <c r="ED366" s="70"/>
      <c r="EE366" s="70"/>
      <c r="EF366" s="70"/>
      <c r="EG366" s="70"/>
    </row>
    <row r="367" spans="1:137" outlineLevel="1" x14ac:dyDescent="0.2">
      <c r="A367" s="17">
        <v>77</v>
      </c>
      <c r="B367" s="17">
        <v>1</v>
      </c>
      <c r="C367" s="2">
        <v>0.19555526067338375</v>
      </c>
      <c r="D367" s="2">
        <f t="shared" si="49"/>
        <v>0.80444473932661631</v>
      </c>
      <c r="E367" s="2">
        <f t="shared" si="50"/>
        <v>3.2638245524149854</v>
      </c>
      <c r="F367" s="2">
        <f t="shared" si="51"/>
        <v>1.8066058099139903</v>
      </c>
      <c r="G367" s="2">
        <f t="shared" si="52"/>
        <v>2.0282120388666325</v>
      </c>
      <c r="H367" s="2">
        <v>2.2395175532228834E-2</v>
      </c>
      <c r="I367" s="2">
        <f t="shared" si="53"/>
        <v>4.8197500363979677E-2</v>
      </c>
      <c r="J367" s="2">
        <f t="shared" si="54"/>
        <v>2.0513118466897637</v>
      </c>
      <c r="AJ367" s="70"/>
      <c r="AK367" s="70"/>
      <c r="AL367" s="70"/>
      <c r="AM367" s="70"/>
      <c r="AN367" s="70"/>
      <c r="AO367" s="70"/>
      <c r="AP367" s="70"/>
      <c r="AQ367" s="83"/>
      <c r="AR367" s="70"/>
      <c r="AS367" s="70"/>
      <c r="AT367" s="70"/>
      <c r="AU367" s="70">
        <f t="shared" si="55"/>
        <v>0</v>
      </c>
      <c r="AV367" s="70" t="e">
        <f t="shared" si="56"/>
        <v>#N/A</v>
      </c>
      <c r="AW367" s="70">
        <f t="shared" si="57"/>
        <v>0.19555526067338375</v>
      </c>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c r="BV367" s="70"/>
      <c r="BW367" s="70"/>
      <c r="BX367" s="70"/>
      <c r="BY367" s="70"/>
      <c r="BZ367" s="70"/>
      <c r="CA367" s="70"/>
      <c r="CB367" s="70"/>
      <c r="CC367" s="70"/>
      <c r="CD367" s="70"/>
      <c r="CE367" s="70"/>
      <c r="CF367" s="70"/>
      <c r="CG367" s="70"/>
      <c r="CH367" s="70"/>
      <c r="CI367" s="70"/>
      <c r="CJ367" s="70"/>
      <c r="CK367" s="70"/>
      <c r="CL367" s="70"/>
      <c r="CM367" s="70"/>
      <c r="CN367" s="70"/>
      <c r="CO367" s="70"/>
      <c r="CP367" s="70"/>
      <c r="CQ367" s="70"/>
      <c r="CR367" s="70"/>
      <c r="CS367" s="70"/>
      <c r="CT367" s="70"/>
      <c r="CU367" s="70"/>
      <c r="CV367" s="70"/>
      <c r="CW367" s="70"/>
      <c r="CX367" s="70"/>
      <c r="CY367" s="70"/>
      <c r="CZ367" s="70"/>
      <c r="DA367" s="70"/>
      <c r="DB367" s="70"/>
      <c r="DC367" s="70"/>
      <c r="DD367" s="70"/>
      <c r="DE367" s="70"/>
      <c r="DF367" s="70"/>
      <c r="DG367" s="70"/>
      <c r="DH367" s="70"/>
      <c r="DI367" s="70"/>
      <c r="DJ367" s="70"/>
      <c r="DK367" s="70"/>
      <c r="DL367" s="70"/>
      <c r="DM367" s="70"/>
      <c r="DN367" s="70"/>
      <c r="DO367" s="70"/>
      <c r="DP367" s="70"/>
      <c r="DQ367" s="70"/>
      <c r="DR367" s="70"/>
      <c r="DS367" s="70"/>
      <c r="DT367" s="70"/>
      <c r="DU367" s="70"/>
      <c r="DV367" s="70"/>
      <c r="DW367" s="70"/>
      <c r="DX367" s="70"/>
      <c r="DY367" s="70"/>
      <c r="DZ367" s="70"/>
      <c r="EA367" s="70"/>
      <c r="EB367" s="70"/>
      <c r="EC367" s="70"/>
      <c r="ED367" s="70"/>
      <c r="EE367" s="70"/>
      <c r="EF367" s="70"/>
      <c r="EG367" s="70"/>
    </row>
    <row r="368" spans="1:137" outlineLevel="1" x14ac:dyDescent="0.2">
      <c r="A368" s="17">
        <v>78</v>
      </c>
      <c r="B368" s="17">
        <v>0</v>
      </c>
      <c r="C368" s="2">
        <v>6.227537766225974E-2</v>
      </c>
      <c r="D368" s="2">
        <f t="shared" si="49"/>
        <v>-6.227537766225974E-2</v>
      </c>
      <c r="E368" s="2">
        <f t="shared" si="50"/>
        <v>0.1285979053522612</v>
      </c>
      <c r="F368" s="2">
        <f t="shared" si="51"/>
        <v>-0.35860550100669286</v>
      </c>
      <c r="G368" s="2">
        <f t="shared" si="52"/>
        <v>-0.25770362353223614</v>
      </c>
      <c r="H368" s="2">
        <v>1.973855591969885E-2</v>
      </c>
      <c r="I368" s="2">
        <f t="shared" si="53"/>
        <v>6.8209142316387223E-4</v>
      </c>
      <c r="J368" s="2">
        <f t="shared" si="54"/>
        <v>-0.26028525395914248</v>
      </c>
      <c r="AJ368" s="70"/>
      <c r="AK368" s="70"/>
      <c r="AL368" s="70"/>
      <c r="AM368" s="70"/>
      <c r="AN368" s="70"/>
      <c r="AO368" s="70"/>
      <c r="AP368" s="70"/>
      <c r="AQ368" s="83"/>
      <c r="AR368" s="70"/>
      <c r="AS368" s="70"/>
      <c r="AT368" s="70"/>
      <c r="AU368" s="70">
        <f t="shared" si="55"/>
        <v>1</v>
      </c>
      <c r="AV368" s="70">
        <f t="shared" si="56"/>
        <v>6.227537766225974E-2</v>
      </c>
      <c r="AW368" s="70" t="e">
        <f t="shared" si="57"/>
        <v>#N/A</v>
      </c>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c r="CO368" s="70"/>
      <c r="CP368" s="70"/>
      <c r="CQ368" s="70"/>
      <c r="CR368" s="70"/>
      <c r="CS368" s="70"/>
      <c r="CT368" s="70"/>
      <c r="CU368" s="70"/>
      <c r="CV368" s="70"/>
      <c r="CW368" s="70"/>
      <c r="CX368" s="70"/>
      <c r="CY368" s="70"/>
      <c r="CZ368" s="70"/>
      <c r="DA368" s="70"/>
      <c r="DB368" s="70"/>
      <c r="DC368" s="70"/>
      <c r="DD368" s="70"/>
      <c r="DE368" s="70"/>
      <c r="DF368" s="70"/>
      <c r="DG368" s="70"/>
      <c r="DH368" s="70"/>
      <c r="DI368" s="70"/>
      <c r="DJ368" s="70"/>
      <c r="DK368" s="70"/>
      <c r="DL368" s="70"/>
      <c r="DM368" s="70"/>
      <c r="DN368" s="70"/>
      <c r="DO368" s="70"/>
      <c r="DP368" s="70"/>
      <c r="DQ368" s="70"/>
      <c r="DR368" s="70"/>
      <c r="DS368" s="70"/>
      <c r="DT368" s="70"/>
      <c r="DU368" s="70"/>
      <c r="DV368" s="70"/>
      <c r="DW368" s="70"/>
      <c r="DX368" s="70"/>
      <c r="DY368" s="70"/>
      <c r="DZ368" s="70"/>
      <c r="EA368" s="70"/>
      <c r="EB368" s="70"/>
      <c r="EC368" s="70"/>
      <c r="ED368" s="70"/>
      <c r="EE368" s="70"/>
      <c r="EF368" s="70"/>
      <c r="EG368" s="70"/>
    </row>
    <row r="369" spans="1:137" outlineLevel="1" x14ac:dyDescent="0.2">
      <c r="A369" s="17">
        <v>79</v>
      </c>
      <c r="B369" s="17">
        <v>0</v>
      </c>
      <c r="C369" s="2">
        <v>8.2824995727925357E-2</v>
      </c>
      <c r="D369" s="2">
        <f t="shared" si="49"/>
        <v>-8.2824995727925357E-2</v>
      </c>
      <c r="E369" s="2">
        <f t="shared" si="50"/>
        <v>0.17291396116146346</v>
      </c>
      <c r="F369" s="2">
        <f t="shared" si="51"/>
        <v>-0.41582924519742892</v>
      </c>
      <c r="G369" s="2">
        <f t="shared" si="52"/>
        <v>-0.3005070089766092</v>
      </c>
      <c r="H369" s="2">
        <v>2.1279309974639612E-2</v>
      </c>
      <c r="I369" s="2">
        <f t="shared" si="53"/>
        <v>1.003042230728355E-3</v>
      </c>
      <c r="J369" s="2">
        <f t="shared" si="54"/>
        <v>-0.30375624900968529</v>
      </c>
      <c r="AJ369" s="70"/>
      <c r="AK369" s="70"/>
      <c r="AL369" s="70"/>
      <c r="AM369" s="70"/>
      <c r="AN369" s="70"/>
      <c r="AO369" s="70"/>
      <c r="AP369" s="70"/>
      <c r="AQ369" s="83"/>
      <c r="AR369" s="70"/>
      <c r="AS369" s="70"/>
      <c r="AT369" s="70"/>
      <c r="AU369" s="70">
        <f t="shared" si="55"/>
        <v>1</v>
      </c>
      <c r="AV369" s="70">
        <f t="shared" si="56"/>
        <v>8.2824995727925357E-2</v>
      </c>
      <c r="AW369" s="70" t="e">
        <f t="shared" si="57"/>
        <v>#N/A</v>
      </c>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c r="BV369" s="70"/>
      <c r="BW369" s="70"/>
      <c r="BX369" s="70"/>
      <c r="BY369" s="70"/>
      <c r="BZ369" s="70"/>
      <c r="CA369" s="70"/>
      <c r="CB369" s="70"/>
      <c r="CC369" s="70"/>
      <c r="CD369" s="70"/>
      <c r="CE369" s="70"/>
      <c r="CF369" s="70"/>
      <c r="CG369" s="70"/>
      <c r="CH369" s="70"/>
      <c r="CI369" s="70"/>
      <c r="CJ369" s="70"/>
      <c r="CK369" s="70"/>
      <c r="CL369" s="70"/>
      <c r="CM369" s="70"/>
      <c r="CN369" s="70"/>
      <c r="CO369" s="70"/>
      <c r="CP369" s="70"/>
      <c r="CQ369" s="70"/>
      <c r="CR369" s="70"/>
      <c r="CS369" s="70"/>
      <c r="CT369" s="70"/>
      <c r="CU369" s="70"/>
      <c r="CV369" s="70"/>
      <c r="CW369" s="70"/>
      <c r="CX369" s="70"/>
      <c r="CY369" s="70"/>
      <c r="CZ369" s="70"/>
      <c r="DA369" s="70"/>
      <c r="DB369" s="70"/>
      <c r="DC369" s="70"/>
      <c r="DD369" s="70"/>
      <c r="DE369" s="70"/>
      <c r="DF369" s="70"/>
      <c r="DG369" s="70"/>
      <c r="DH369" s="70"/>
      <c r="DI369" s="70"/>
      <c r="DJ369" s="70"/>
      <c r="DK369" s="70"/>
      <c r="DL369" s="70"/>
      <c r="DM369" s="70"/>
      <c r="DN369" s="70"/>
      <c r="DO369" s="70"/>
      <c r="DP369" s="70"/>
      <c r="DQ369" s="70"/>
      <c r="DR369" s="70"/>
      <c r="DS369" s="70"/>
      <c r="DT369" s="70"/>
      <c r="DU369" s="70"/>
      <c r="DV369" s="70"/>
      <c r="DW369" s="70"/>
      <c r="DX369" s="70"/>
      <c r="DY369" s="70"/>
      <c r="DZ369" s="70"/>
      <c r="EA369" s="70"/>
      <c r="EB369" s="70"/>
      <c r="EC369" s="70"/>
      <c r="ED369" s="70"/>
      <c r="EE369" s="70"/>
      <c r="EF369" s="70"/>
      <c r="EG369" s="70"/>
    </row>
    <row r="370" spans="1:137" outlineLevel="1" x14ac:dyDescent="0.2">
      <c r="A370" s="17">
        <v>80</v>
      </c>
      <c r="B370" s="17">
        <v>1</v>
      </c>
      <c r="C370" s="2">
        <v>0.38741363063363465</v>
      </c>
      <c r="D370" s="2">
        <f t="shared" si="49"/>
        <v>0.61258636936636535</v>
      </c>
      <c r="E370" s="2">
        <f t="shared" si="50"/>
        <v>1.8965246874390096</v>
      </c>
      <c r="F370" s="2">
        <f t="shared" si="51"/>
        <v>1.3771436698612856</v>
      </c>
      <c r="G370" s="2">
        <f t="shared" si="52"/>
        <v>1.2574658985977925</v>
      </c>
      <c r="H370" s="2">
        <v>1.8978759289740622E-2</v>
      </c>
      <c r="I370" s="2">
        <f t="shared" si="53"/>
        <v>1.5590980666680399E-2</v>
      </c>
      <c r="J370" s="2">
        <f t="shared" si="54"/>
        <v>1.2695710506038591</v>
      </c>
      <c r="AJ370" s="70"/>
      <c r="AK370" s="70"/>
      <c r="AL370" s="70"/>
      <c r="AM370" s="70"/>
      <c r="AN370" s="70"/>
      <c r="AO370" s="70"/>
      <c r="AP370" s="70"/>
      <c r="AQ370" s="83"/>
      <c r="AR370" s="70"/>
      <c r="AS370" s="70"/>
      <c r="AT370" s="70"/>
      <c r="AU370" s="70">
        <f t="shared" si="55"/>
        <v>0</v>
      </c>
      <c r="AV370" s="70" t="e">
        <f t="shared" si="56"/>
        <v>#N/A</v>
      </c>
      <c r="AW370" s="70">
        <f t="shared" si="57"/>
        <v>0.38741363063363465</v>
      </c>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c r="CO370" s="70"/>
      <c r="CP370" s="70"/>
      <c r="CQ370" s="70"/>
      <c r="CR370" s="70"/>
      <c r="CS370" s="70"/>
      <c r="CT370" s="70"/>
      <c r="CU370" s="70"/>
      <c r="CV370" s="70"/>
      <c r="CW370" s="70"/>
      <c r="CX370" s="70"/>
      <c r="CY370" s="70"/>
      <c r="CZ370" s="70"/>
      <c r="DA370" s="70"/>
      <c r="DB370" s="70"/>
      <c r="DC370" s="70"/>
      <c r="DD370" s="70"/>
      <c r="DE370" s="70"/>
      <c r="DF370" s="70"/>
      <c r="DG370" s="70"/>
      <c r="DH370" s="70"/>
      <c r="DI370" s="70"/>
      <c r="DJ370" s="70"/>
      <c r="DK370" s="70"/>
      <c r="DL370" s="70"/>
      <c r="DM370" s="70"/>
      <c r="DN370" s="70"/>
      <c r="DO370" s="70"/>
      <c r="DP370" s="70"/>
      <c r="DQ370" s="70"/>
      <c r="DR370" s="70"/>
      <c r="DS370" s="70"/>
      <c r="DT370" s="70"/>
      <c r="DU370" s="70"/>
      <c r="DV370" s="70"/>
      <c r="DW370" s="70"/>
      <c r="DX370" s="70"/>
      <c r="DY370" s="70"/>
      <c r="DZ370" s="70"/>
      <c r="EA370" s="70"/>
      <c r="EB370" s="70"/>
      <c r="EC370" s="70"/>
      <c r="ED370" s="70"/>
      <c r="EE370" s="70"/>
      <c r="EF370" s="70"/>
      <c r="EG370" s="70"/>
    </row>
    <row r="371" spans="1:137" outlineLevel="1" x14ac:dyDescent="0.2">
      <c r="A371" s="17">
        <v>81</v>
      </c>
      <c r="B371" s="17">
        <v>0</v>
      </c>
      <c r="C371" s="2">
        <v>0.83070260949738561</v>
      </c>
      <c r="D371" s="2">
        <f t="shared" si="49"/>
        <v>-0.83070260949738561</v>
      </c>
      <c r="E371" s="2">
        <f t="shared" si="50"/>
        <v>3.5521968068272227</v>
      </c>
      <c r="F371" s="2">
        <f t="shared" si="51"/>
        <v>-1.8847272499826659</v>
      </c>
      <c r="G371" s="2">
        <f t="shared" si="52"/>
        <v>-2.2151220250539772</v>
      </c>
      <c r="H371" s="2">
        <v>2.5300612622377368E-2</v>
      </c>
      <c r="I371" s="2">
        <f t="shared" si="53"/>
        <v>6.5336364580407452E-2</v>
      </c>
      <c r="J371" s="2">
        <f t="shared" si="54"/>
        <v>-2.243687191865043</v>
      </c>
      <c r="AJ371" s="70"/>
      <c r="AK371" s="70"/>
      <c r="AL371" s="70"/>
      <c r="AM371" s="70"/>
      <c r="AN371" s="70"/>
      <c r="AO371" s="70"/>
      <c r="AP371" s="70"/>
      <c r="AQ371" s="83"/>
      <c r="AR371" s="70"/>
      <c r="AS371" s="70"/>
      <c r="AT371" s="70"/>
      <c r="AU371" s="70">
        <f t="shared" si="55"/>
        <v>1</v>
      </c>
      <c r="AV371" s="70">
        <f t="shared" si="56"/>
        <v>0.83070260949738561</v>
      </c>
      <c r="AW371" s="70" t="e">
        <f t="shared" si="57"/>
        <v>#N/A</v>
      </c>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c r="CO371" s="70"/>
      <c r="CP371" s="70"/>
      <c r="CQ371" s="70"/>
      <c r="CR371" s="70"/>
      <c r="CS371" s="70"/>
      <c r="CT371" s="70"/>
      <c r="CU371" s="70"/>
      <c r="CV371" s="70"/>
      <c r="CW371" s="70"/>
      <c r="CX371" s="70"/>
      <c r="CY371" s="70"/>
      <c r="CZ371" s="70"/>
      <c r="DA371" s="70"/>
      <c r="DB371" s="70"/>
      <c r="DC371" s="70"/>
      <c r="DD371" s="70"/>
      <c r="DE371" s="70"/>
      <c r="DF371" s="70"/>
      <c r="DG371" s="70"/>
      <c r="DH371" s="70"/>
      <c r="DI371" s="70"/>
      <c r="DJ371" s="70"/>
      <c r="DK371" s="70"/>
      <c r="DL371" s="70"/>
      <c r="DM371" s="70"/>
      <c r="DN371" s="70"/>
      <c r="DO371" s="70"/>
      <c r="DP371" s="70"/>
      <c r="DQ371" s="70"/>
      <c r="DR371" s="70"/>
      <c r="DS371" s="70"/>
      <c r="DT371" s="70"/>
      <c r="DU371" s="70"/>
      <c r="DV371" s="70"/>
      <c r="DW371" s="70"/>
      <c r="DX371" s="70"/>
      <c r="DY371" s="70"/>
      <c r="DZ371" s="70"/>
      <c r="EA371" s="70"/>
      <c r="EB371" s="70"/>
      <c r="EC371" s="70"/>
      <c r="ED371" s="70"/>
      <c r="EE371" s="70"/>
      <c r="EF371" s="70"/>
      <c r="EG371" s="70"/>
    </row>
    <row r="372" spans="1:137" outlineLevel="1" x14ac:dyDescent="0.2">
      <c r="A372" s="17">
        <v>82</v>
      </c>
      <c r="B372" s="17">
        <v>1</v>
      </c>
      <c r="C372" s="2">
        <v>0.86171919848824297</v>
      </c>
      <c r="D372" s="2">
        <f t="shared" si="49"/>
        <v>0.13828080151175703</v>
      </c>
      <c r="E372" s="2">
        <f t="shared" si="50"/>
        <v>0.29765163440499609</v>
      </c>
      <c r="F372" s="2">
        <f t="shared" si="51"/>
        <v>0.54557459105515183</v>
      </c>
      <c r="G372" s="2">
        <f t="shared" si="52"/>
        <v>0.40058811458532095</v>
      </c>
      <c r="H372" s="2">
        <v>2.5298980289430811E-2</v>
      </c>
      <c r="I372" s="2">
        <f t="shared" si="53"/>
        <v>2.1366151304716943E-3</v>
      </c>
      <c r="J372" s="2">
        <f t="shared" si="54"/>
        <v>0.40575356984236355</v>
      </c>
      <c r="AJ372" s="70"/>
      <c r="AK372" s="70"/>
      <c r="AL372" s="70"/>
      <c r="AM372" s="70"/>
      <c r="AN372" s="70"/>
      <c r="AO372" s="70"/>
      <c r="AP372" s="70"/>
      <c r="AQ372" s="83"/>
      <c r="AR372" s="70"/>
      <c r="AS372" s="70"/>
      <c r="AT372" s="70"/>
      <c r="AU372" s="70">
        <f t="shared" si="55"/>
        <v>0</v>
      </c>
      <c r="AV372" s="70" t="e">
        <f t="shared" si="56"/>
        <v>#N/A</v>
      </c>
      <c r="AW372" s="70">
        <f t="shared" si="57"/>
        <v>0.86171919848824297</v>
      </c>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c r="CO372" s="70"/>
      <c r="CP372" s="70"/>
      <c r="CQ372" s="70"/>
      <c r="CR372" s="70"/>
      <c r="CS372" s="70"/>
      <c r="CT372" s="70"/>
      <c r="CU372" s="70"/>
      <c r="CV372" s="70"/>
      <c r="CW372" s="70"/>
      <c r="CX372" s="70"/>
      <c r="CY372" s="70"/>
      <c r="CZ372" s="70"/>
      <c r="DA372" s="70"/>
      <c r="DB372" s="70"/>
      <c r="DC372" s="70"/>
      <c r="DD372" s="70"/>
      <c r="DE372" s="70"/>
      <c r="DF372" s="70"/>
      <c r="DG372" s="70"/>
      <c r="DH372" s="70"/>
      <c r="DI372" s="70"/>
      <c r="DJ372" s="70"/>
      <c r="DK372" s="70"/>
      <c r="DL372" s="70"/>
      <c r="DM372" s="70"/>
      <c r="DN372" s="70"/>
      <c r="DO372" s="70"/>
      <c r="DP372" s="70"/>
      <c r="DQ372" s="70"/>
      <c r="DR372" s="70"/>
      <c r="DS372" s="70"/>
      <c r="DT372" s="70"/>
      <c r="DU372" s="70"/>
      <c r="DV372" s="70"/>
      <c r="DW372" s="70"/>
      <c r="DX372" s="70"/>
      <c r="DY372" s="70"/>
      <c r="DZ372" s="70"/>
      <c r="EA372" s="70"/>
      <c r="EB372" s="70"/>
      <c r="EC372" s="70"/>
      <c r="ED372" s="70"/>
      <c r="EE372" s="70"/>
      <c r="EF372" s="70"/>
      <c r="EG372" s="70"/>
    </row>
    <row r="373" spans="1:137" outlineLevel="1" x14ac:dyDescent="0.2">
      <c r="A373" s="17">
        <v>83</v>
      </c>
      <c r="B373" s="17">
        <v>1</v>
      </c>
      <c r="C373" s="2">
        <v>0.98397551438052722</v>
      </c>
      <c r="D373" s="2">
        <f t="shared" si="49"/>
        <v>1.6024485619472784E-2</v>
      </c>
      <c r="E373" s="2">
        <f t="shared" si="50"/>
        <v>3.2308531998232484E-2</v>
      </c>
      <c r="F373" s="2">
        <f t="shared" si="51"/>
        <v>0.17974574264285784</v>
      </c>
      <c r="G373" s="2">
        <f t="shared" si="52"/>
        <v>0.12761446471507834</v>
      </c>
      <c r="H373" s="2">
        <v>1.1698178699157798E-2</v>
      </c>
      <c r="I373" s="2">
        <f t="shared" si="53"/>
        <v>9.7523408223168385E-5</v>
      </c>
      <c r="J373" s="2">
        <f t="shared" si="54"/>
        <v>0.1283675065133261</v>
      </c>
      <c r="AJ373" s="70"/>
      <c r="AK373" s="70"/>
      <c r="AL373" s="70"/>
      <c r="AM373" s="70"/>
      <c r="AN373" s="70"/>
      <c r="AO373" s="70"/>
      <c r="AP373" s="70"/>
      <c r="AQ373" s="83"/>
      <c r="AR373" s="70"/>
      <c r="AS373" s="70"/>
      <c r="AT373" s="70"/>
      <c r="AU373" s="70">
        <f t="shared" si="55"/>
        <v>0</v>
      </c>
      <c r="AV373" s="70" t="e">
        <f t="shared" si="56"/>
        <v>#N/A</v>
      </c>
      <c r="AW373" s="70">
        <f t="shared" si="57"/>
        <v>0.98397551438052722</v>
      </c>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c r="CO373" s="70"/>
      <c r="CP373" s="70"/>
      <c r="CQ373" s="70"/>
      <c r="CR373" s="70"/>
      <c r="CS373" s="70"/>
      <c r="CT373" s="70"/>
      <c r="CU373" s="70"/>
      <c r="CV373" s="70"/>
      <c r="CW373" s="70"/>
      <c r="CX373" s="70"/>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c r="DX373" s="70"/>
      <c r="DY373" s="70"/>
      <c r="DZ373" s="70"/>
      <c r="EA373" s="70"/>
      <c r="EB373" s="70"/>
      <c r="EC373" s="70"/>
      <c r="ED373" s="70"/>
      <c r="EE373" s="70"/>
      <c r="EF373" s="70"/>
      <c r="EG373" s="70"/>
    </row>
    <row r="374" spans="1:137" outlineLevel="1" x14ac:dyDescent="0.2">
      <c r="A374" s="17">
        <v>84</v>
      </c>
      <c r="B374" s="17">
        <v>0</v>
      </c>
      <c r="C374" s="2">
        <v>1.0396645606166299E-2</v>
      </c>
      <c r="D374" s="2">
        <f t="shared" si="49"/>
        <v>-1.0396645606166299E-2</v>
      </c>
      <c r="E374" s="2">
        <f t="shared" si="50"/>
        <v>2.0902136526900136E-2</v>
      </c>
      <c r="F374" s="2">
        <f t="shared" si="51"/>
        <v>-0.14457571209196979</v>
      </c>
      <c r="G374" s="2">
        <f t="shared" si="52"/>
        <v>-0.10249815329160389</v>
      </c>
      <c r="H374" s="2">
        <v>8.5996716528754531E-3</v>
      </c>
      <c r="I374" s="2">
        <f t="shared" si="53"/>
        <v>4.5960615776579223E-5</v>
      </c>
      <c r="J374" s="2">
        <f t="shared" si="54"/>
        <v>-0.10294174161793165</v>
      </c>
      <c r="AJ374" s="70"/>
      <c r="AK374" s="70"/>
      <c r="AL374" s="70"/>
      <c r="AM374" s="70"/>
      <c r="AN374" s="70"/>
      <c r="AO374" s="70"/>
      <c r="AP374" s="70"/>
      <c r="AQ374" s="83"/>
      <c r="AR374" s="70"/>
      <c r="AS374" s="70"/>
      <c r="AT374" s="70"/>
      <c r="AU374" s="70">
        <f t="shared" si="55"/>
        <v>1</v>
      </c>
      <c r="AV374" s="70">
        <f t="shared" si="56"/>
        <v>1.0396645606166299E-2</v>
      </c>
      <c r="AW374" s="70" t="e">
        <f t="shared" si="57"/>
        <v>#N/A</v>
      </c>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c r="CO374" s="70"/>
      <c r="CP374" s="70"/>
      <c r="CQ374" s="70"/>
      <c r="CR374" s="70"/>
      <c r="CS374" s="70"/>
      <c r="CT374" s="70"/>
      <c r="CU374" s="70"/>
      <c r="CV374" s="70"/>
      <c r="CW374" s="70"/>
      <c r="CX374" s="70"/>
      <c r="CY374" s="70"/>
      <c r="CZ374" s="70"/>
      <c r="DA374" s="70"/>
      <c r="DB374" s="70"/>
      <c r="DC374" s="70"/>
      <c r="DD374" s="70"/>
      <c r="DE374" s="70"/>
      <c r="DF374" s="70"/>
      <c r="DG374" s="70"/>
      <c r="DH374" s="70"/>
      <c r="DI374" s="70"/>
      <c r="DJ374" s="70"/>
      <c r="DK374" s="70"/>
      <c r="DL374" s="70"/>
      <c r="DM374" s="70"/>
      <c r="DN374" s="70"/>
      <c r="DO374" s="70"/>
      <c r="DP374" s="70"/>
      <c r="DQ374" s="70"/>
      <c r="DR374" s="70"/>
      <c r="DS374" s="70"/>
      <c r="DT374" s="70"/>
      <c r="DU374" s="70"/>
      <c r="DV374" s="70"/>
      <c r="DW374" s="70"/>
      <c r="DX374" s="70"/>
      <c r="DY374" s="70"/>
      <c r="DZ374" s="70"/>
      <c r="EA374" s="70"/>
      <c r="EB374" s="70"/>
      <c r="EC374" s="70"/>
      <c r="ED374" s="70"/>
      <c r="EE374" s="70"/>
      <c r="EF374" s="70"/>
      <c r="EG374" s="70"/>
    </row>
    <row r="375" spans="1:137" outlineLevel="1" x14ac:dyDescent="0.2">
      <c r="A375" s="17">
        <v>85</v>
      </c>
      <c r="B375" s="17">
        <v>0</v>
      </c>
      <c r="C375" s="2">
        <v>0.52202395373210986</v>
      </c>
      <c r="D375" s="2">
        <f t="shared" si="49"/>
        <v>-0.52202395373210986</v>
      </c>
      <c r="E375" s="2">
        <f t="shared" si="50"/>
        <v>1.476389320313243</v>
      </c>
      <c r="F375" s="2">
        <f t="shared" si="51"/>
        <v>-1.2150676196464307</v>
      </c>
      <c r="G375" s="2">
        <f t="shared" si="52"/>
        <v>-1.0450622240504848</v>
      </c>
      <c r="H375" s="2">
        <v>1.8830423117538964E-2</v>
      </c>
      <c r="I375" s="2">
        <f t="shared" si="53"/>
        <v>1.068135218767397E-2</v>
      </c>
      <c r="J375" s="2">
        <f t="shared" si="54"/>
        <v>-1.0550428843181545</v>
      </c>
      <c r="AJ375" s="70"/>
      <c r="AK375" s="70"/>
      <c r="AL375" s="70"/>
      <c r="AM375" s="70"/>
      <c r="AN375" s="70"/>
      <c r="AO375" s="70"/>
      <c r="AP375" s="70"/>
      <c r="AQ375" s="83"/>
      <c r="AR375" s="70"/>
      <c r="AS375" s="70"/>
      <c r="AT375" s="70"/>
      <c r="AU375" s="70">
        <f t="shared" si="55"/>
        <v>1</v>
      </c>
      <c r="AV375" s="70">
        <f t="shared" si="56"/>
        <v>0.52202395373210986</v>
      </c>
      <c r="AW375" s="70" t="e">
        <f t="shared" si="57"/>
        <v>#N/A</v>
      </c>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0"/>
      <c r="CB375" s="70"/>
      <c r="CC375" s="70"/>
      <c r="CD375" s="70"/>
      <c r="CE375" s="70"/>
      <c r="CF375" s="70"/>
      <c r="CG375" s="70"/>
      <c r="CH375" s="70"/>
      <c r="CI375" s="70"/>
      <c r="CJ375" s="70"/>
      <c r="CK375" s="70"/>
      <c r="CL375" s="70"/>
      <c r="CM375" s="70"/>
      <c r="CN375" s="70"/>
      <c r="CO375" s="70"/>
      <c r="CP375" s="70"/>
      <c r="CQ375" s="70"/>
      <c r="CR375" s="70"/>
      <c r="CS375" s="70"/>
      <c r="CT375" s="70"/>
      <c r="CU375" s="70"/>
      <c r="CV375" s="70"/>
      <c r="CW375" s="70"/>
      <c r="CX375" s="70"/>
      <c r="CY375" s="70"/>
      <c r="CZ375" s="70"/>
      <c r="DA375" s="70"/>
      <c r="DB375" s="70"/>
      <c r="DC375" s="70"/>
      <c r="DD375" s="70"/>
      <c r="DE375" s="70"/>
      <c r="DF375" s="70"/>
      <c r="DG375" s="70"/>
      <c r="DH375" s="70"/>
      <c r="DI375" s="70"/>
      <c r="DJ375" s="70"/>
      <c r="DK375" s="70"/>
      <c r="DL375" s="70"/>
      <c r="DM375" s="70"/>
      <c r="DN375" s="70"/>
      <c r="DO375" s="70"/>
      <c r="DP375" s="70"/>
      <c r="DQ375" s="70"/>
      <c r="DR375" s="70"/>
      <c r="DS375" s="70"/>
      <c r="DT375" s="70"/>
      <c r="DU375" s="70"/>
      <c r="DV375" s="70"/>
      <c r="DW375" s="70"/>
      <c r="DX375" s="70"/>
      <c r="DY375" s="70"/>
      <c r="DZ375" s="70"/>
      <c r="EA375" s="70"/>
      <c r="EB375" s="70"/>
      <c r="EC375" s="70"/>
      <c r="ED375" s="70"/>
      <c r="EE375" s="70"/>
      <c r="EF375" s="70"/>
      <c r="EG375" s="70"/>
    </row>
    <row r="376" spans="1:137" outlineLevel="1" x14ac:dyDescent="0.2">
      <c r="A376" s="17">
        <v>86</v>
      </c>
      <c r="B376" s="17">
        <v>1</v>
      </c>
      <c r="C376" s="2">
        <v>0.93182207013354557</v>
      </c>
      <c r="D376" s="2">
        <f t="shared" si="49"/>
        <v>6.8177929866454434E-2</v>
      </c>
      <c r="E376" s="2">
        <f t="shared" si="50"/>
        <v>0.14122678879283121</v>
      </c>
      <c r="F376" s="2">
        <f t="shared" si="51"/>
        <v>0.37580152845994547</v>
      </c>
      <c r="G376" s="2">
        <f t="shared" si="52"/>
        <v>0.27049261278454528</v>
      </c>
      <c r="H376" s="2">
        <v>2.2193176670508529E-2</v>
      </c>
      <c r="I376" s="2">
        <f t="shared" si="53"/>
        <v>8.4916906689818273E-4</v>
      </c>
      <c r="J376" s="2">
        <f t="shared" si="54"/>
        <v>0.27354506061443828</v>
      </c>
      <c r="AJ376" s="70"/>
      <c r="AK376" s="70"/>
      <c r="AL376" s="70"/>
      <c r="AM376" s="70"/>
      <c r="AN376" s="70"/>
      <c r="AO376" s="70"/>
      <c r="AP376" s="70"/>
      <c r="AQ376" s="83"/>
      <c r="AR376" s="70"/>
      <c r="AS376" s="70"/>
      <c r="AT376" s="70"/>
      <c r="AU376" s="70">
        <f t="shared" si="55"/>
        <v>0</v>
      </c>
      <c r="AV376" s="70" t="e">
        <f t="shared" si="56"/>
        <v>#N/A</v>
      </c>
      <c r="AW376" s="70">
        <f t="shared" si="57"/>
        <v>0.93182207013354557</v>
      </c>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c r="CO376" s="70"/>
      <c r="CP376" s="70"/>
      <c r="CQ376" s="70"/>
      <c r="CR376" s="70"/>
      <c r="CS376" s="70"/>
      <c r="CT376" s="70"/>
      <c r="CU376" s="70"/>
      <c r="CV376" s="70"/>
      <c r="CW376" s="70"/>
      <c r="CX376" s="70"/>
      <c r="CY376" s="70"/>
      <c r="CZ376" s="70"/>
      <c r="DA376" s="70"/>
      <c r="DB376" s="70"/>
      <c r="DC376" s="70"/>
      <c r="DD376" s="70"/>
      <c r="DE376" s="70"/>
      <c r="DF376" s="70"/>
      <c r="DG376" s="70"/>
      <c r="DH376" s="70"/>
      <c r="DI376" s="70"/>
      <c r="DJ376" s="70"/>
      <c r="DK376" s="70"/>
      <c r="DL376" s="70"/>
      <c r="DM376" s="70"/>
      <c r="DN376" s="70"/>
      <c r="DO376" s="70"/>
      <c r="DP376" s="70"/>
      <c r="DQ376" s="70"/>
      <c r="DR376" s="70"/>
      <c r="DS376" s="70"/>
      <c r="DT376" s="70"/>
      <c r="DU376" s="70"/>
      <c r="DV376" s="70"/>
      <c r="DW376" s="70"/>
      <c r="DX376" s="70"/>
      <c r="DY376" s="70"/>
      <c r="DZ376" s="70"/>
      <c r="EA376" s="70"/>
      <c r="EB376" s="70"/>
      <c r="EC376" s="70"/>
      <c r="ED376" s="70"/>
      <c r="EE376" s="70"/>
      <c r="EF376" s="70"/>
      <c r="EG376" s="70"/>
    </row>
    <row r="377" spans="1:137" outlineLevel="1" x14ac:dyDescent="0.2">
      <c r="A377" s="17">
        <v>87</v>
      </c>
      <c r="B377" s="17">
        <v>0</v>
      </c>
      <c r="C377" s="2">
        <v>0.5134982168224822</v>
      </c>
      <c r="D377" s="2">
        <f t="shared" si="49"/>
        <v>-0.5134982168224822</v>
      </c>
      <c r="E377" s="2">
        <f t="shared" si="50"/>
        <v>1.4410294240883115</v>
      </c>
      <c r="F377" s="2">
        <f t="shared" si="51"/>
        <v>-1.2004288500733025</v>
      </c>
      <c r="G377" s="2">
        <f t="shared" si="52"/>
        <v>-1.0273708796471501</v>
      </c>
      <c r="H377" s="2">
        <v>1.875775858324372E-2</v>
      </c>
      <c r="I377" s="2">
        <f t="shared" si="53"/>
        <v>1.0281417099895227E-2</v>
      </c>
      <c r="J377" s="2">
        <f t="shared" si="54"/>
        <v>-1.0371441779555253</v>
      </c>
      <c r="AJ377" s="70"/>
      <c r="AK377" s="70"/>
      <c r="AL377" s="70"/>
      <c r="AM377" s="70"/>
      <c r="AN377" s="70"/>
      <c r="AO377" s="70"/>
      <c r="AP377" s="70"/>
      <c r="AQ377" s="83"/>
      <c r="AR377" s="70"/>
      <c r="AS377" s="70"/>
      <c r="AT377" s="70"/>
      <c r="AU377" s="70">
        <f t="shared" si="55"/>
        <v>1</v>
      </c>
      <c r="AV377" s="70">
        <f t="shared" si="56"/>
        <v>0.5134982168224822</v>
      </c>
      <c r="AW377" s="70" t="e">
        <f t="shared" si="57"/>
        <v>#N/A</v>
      </c>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c r="DX377" s="70"/>
      <c r="DY377" s="70"/>
      <c r="DZ377" s="70"/>
      <c r="EA377" s="70"/>
      <c r="EB377" s="70"/>
      <c r="EC377" s="70"/>
      <c r="ED377" s="70"/>
      <c r="EE377" s="70"/>
      <c r="EF377" s="70"/>
      <c r="EG377" s="70"/>
    </row>
    <row r="378" spans="1:137" outlineLevel="1" x14ac:dyDescent="0.2">
      <c r="A378" s="17">
        <v>88</v>
      </c>
      <c r="B378" s="17">
        <v>0</v>
      </c>
      <c r="C378" s="2">
        <v>0.20652254590669222</v>
      </c>
      <c r="D378" s="2">
        <f t="shared" si="49"/>
        <v>-0.20652254590669222</v>
      </c>
      <c r="E378" s="2">
        <f t="shared" si="50"/>
        <v>0.46266030532056979</v>
      </c>
      <c r="F378" s="2">
        <f t="shared" si="51"/>
        <v>-0.68019137404157792</v>
      </c>
      <c r="G378" s="2">
        <f t="shared" si="52"/>
        <v>-0.51017178871346525</v>
      </c>
      <c r="H378" s="2">
        <v>2.2221384757901134E-2</v>
      </c>
      <c r="I378" s="2">
        <f t="shared" si="53"/>
        <v>3.0247740123245659E-3</v>
      </c>
      <c r="J378" s="2">
        <f t="shared" si="54"/>
        <v>-0.51593640372576799</v>
      </c>
      <c r="AJ378" s="70"/>
      <c r="AK378" s="70"/>
      <c r="AL378" s="70"/>
      <c r="AM378" s="70"/>
      <c r="AN378" s="70"/>
      <c r="AO378" s="70"/>
      <c r="AP378" s="70"/>
      <c r="AQ378" s="83"/>
      <c r="AR378" s="70"/>
      <c r="AS378" s="70"/>
      <c r="AT378" s="70"/>
      <c r="AU378" s="70">
        <f t="shared" si="55"/>
        <v>1</v>
      </c>
      <c r="AV378" s="70">
        <f t="shared" si="56"/>
        <v>0.20652254590669222</v>
      </c>
      <c r="AW378" s="70" t="e">
        <f t="shared" si="57"/>
        <v>#N/A</v>
      </c>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c r="BV378" s="70"/>
      <c r="BW378" s="70"/>
      <c r="BX378" s="70"/>
      <c r="BY378" s="70"/>
      <c r="BZ378" s="70"/>
      <c r="CA378" s="70"/>
      <c r="CB378" s="70"/>
      <c r="CC378" s="70"/>
      <c r="CD378" s="70"/>
      <c r="CE378" s="70"/>
      <c r="CF378" s="70"/>
      <c r="CG378" s="70"/>
      <c r="CH378" s="70"/>
      <c r="CI378" s="70"/>
      <c r="CJ378" s="70"/>
      <c r="CK378" s="70"/>
      <c r="CL378" s="70"/>
      <c r="CM378" s="70"/>
      <c r="CN378" s="70"/>
      <c r="CO378" s="70"/>
      <c r="CP378" s="70"/>
      <c r="CQ378" s="70"/>
      <c r="CR378" s="70"/>
      <c r="CS378" s="70"/>
      <c r="CT378" s="70"/>
      <c r="CU378" s="70"/>
      <c r="CV378" s="70"/>
      <c r="CW378" s="70"/>
      <c r="CX378" s="70"/>
      <c r="CY378" s="70"/>
      <c r="CZ378" s="70"/>
      <c r="DA378" s="70"/>
      <c r="DB378" s="70"/>
      <c r="DC378" s="70"/>
      <c r="DD378" s="70"/>
      <c r="DE378" s="70"/>
      <c r="DF378" s="70"/>
      <c r="DG378" s="70"/>
      <c r="DH378" s="70"/>
      <c r="DI378" s="70"/>
      <c r="DJ378" s="70"/>
      <c r="DK378" s="70"/>
      <c r="DL378" s="70"/>
      <c r="DM378" s="70"/>
      <c r="DN378" s="70"/>
      <c r="DO378" s="70"/>
      <c r="DP378" s="70"/>
      <c r="DQ378" s="70"/>
      <c r="DR378" s="70"/>
      <c r="DS378" s="70"/>
      <c r="DT378" s="70"/>
      <c r="DU378" s="70"/>
      <c r="DV378" s="70"/>
      <c r="DW378" s="70"/>
      <c r="DX378" s="70"/>
      <c r="DY378" s="70"/>
      <c r="DZ378" s="70"/>
      <c r="EA378" s="70"/>
      <c r="EB378" s="70"/>
      <c r="EC378" s="70"/>
      <c r="ED378" s="70"/>
      <c r="EE378" s="70"/>
      <c r="EF378" s="70"/>
      <c r="EG378" s="70"/>
    </row>
    <row r="379" spans="1:137" outlineLevel="1" x14ac:dyDescent="0.2">
      <c r="A379" s="17">
        <v>89</v>
      </c>
      <c r="B379" s="17">
        <v>1</v>
      </c>
      <c r="C379" s="2">
        <v>0.92735334034542682</v>
      </c>
      <c r="D379" s="2">
        <f t="shared" si="49"/>
        <v>7.2646659654573176E-2</v>
      </c>
      <c r="E379" s="2">
        <f t="shared" si="50"/>
        <v>0.1508412412403887</v>
      </c>
      <c r="F379" s="2">
        <f t="shared" si="51"/>
        <v>0.38838285394747885</v>
      </c>
      <c r="G379" s="2">
        <f t="shared" si="52"/>
        <v>0.27988859667481292</v>
      </c>
      <c r="H379" s="2">
        <v>2.2606518834527019E-2</v>
      </c>
      <c r="I379" s="2">
        <f t="shared" si="53"/>
        <v>9.2690500684723903E-4</v>
      </c>
      <c r="J379" s="2">
        <f t="shared" si="54"/>
        <v>0.28310692038751079</v>
      </c>
      <c r="AJ379" s="70"/>
      <c r="AK379" s="70"/>
      <c r="AL379" s="70"/>
      <c r="AM379" s="70"/>
      <c r="AN379" s="70"/>
      <c r="AO379" s="70"/>
      <c r="AP379" s="70"/>
      <c r="AQ379" s="83"/>
      <c r="AR379" s="70"/>
      <c r="AS379" s="70"/>
      <c r="AT379" s="70"/>
      <c r="AU379" s="70">
        <f t="shared" si="55"/>
        <v>0</v>
      </c>
      <c r="AV379" s="70" t="e">
        <f t="shared" si="56"/>
        <v>#N/A</v>
      </c>
      <c r="AW379" s="70">
        <f t="shared" si="57"/>
        <v>0.92735334034542682</v>
      </c>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c r="CO379" s="70"/>
      <c r="CP379" s="70"/>
      <c r="CQ379" s="70"/>
      <c r="CR379" s="70"/>
      <c r="CS379" s="70"/>
      <c r="CT379" s="70"/>
      <c r="CU379" s="70"/>
      <c r="CV379" s="70"/>
      <c r="CW379" s="70"/>
      <c r="CX379" s="70"/>
      <c r="CY379" s="70"/>
      <c r="CZ379" s="70"/>
      <c r="DA379" s="70"/>
      <c r="DB379" s="70"/>
      <c r="DC379" s="70"/>
      <c r="DD379" s="70"/>
      <c r="DE379" s="70"/>
      <c r="DF379" s="70"/>
      <c r="DG379" s="70"/>
      <c r="DH379" s="70"/>
      <c r="DI379" s="70"/>
      <c r="DJ379" s="70"/>
      <c r="DK379" s="70"/>
      <c r="DL379" s="70"/>
      <c r="DM379" s="70"/>
      <c r="DN379" s="70"/>
      <c r="DO379" s="70"/>
      <c r="DP379" s="70"/>
      <c r="DQ379" s="70"/>
      <c r="DR379" s="70"/>
      <c r="DS379" s="70"/>
      <c r="DT379" s="70"/>
      <c r="DU379" s="70"/>
      <c r="DV379" s="70"/>
      <c r="DW379" s="70"/>
      <c r="DX379" s="70"/>
      <c r="DY379" s="70"/>
      <c r="DZ379" s="70"/>
      <c r="EA379" s="70"/>
      <c r="EB379" s="70"/>
      <c r="EC379" s="70"/>
      <c r="ED379" s="70"/>
      <c r="EE379" s="70"/>
      <c r="EF379" s="70"/>
      <c r="EG379" s="70"/>
    </row>
    <row r="380" spans="1:137" outlineLevel="1" x14ac:dyDescent="0.2">
      <c r="A380" s="17">
        <v>90</v>
      </c>
      <c r="B380" s="17">
        <v>1</v>
      </c>
      <c r="C380" s="2">
        <v>0.98227756394836641</v>
      </c>
      <c r="D380" s="2">
        <f t="shared" si="49"/>
        <v>1.7722436051633594E-2</v>
      </c>
      <c r="E380" s="2">
        <f t="shared" si="50"/>
        <v>3.5762717775100976E-2</v>
      </c>
      <c r="F380" s="2">
        <f t="shared" si="51"/>
        <v>0.18911033228012947</v>
      </c>
      <c r="G380" s="2">
        <f t="shared" si="52"/>
        <v>0.13432121041377537</v>
      </c>
      <c r="H380" s="2">
        <v>1.2354688859148423E-2</v>
      </c>
      <c r="I380" s="2">
        <f t="shared" si="53"/>
        <v>1.1425862616940393E-4</v>
      </c>
      <c r="J380" s="2">
        <f t="shared" si="54"/>
        <v>0.13515872727948031</v>
      </c>
      <c r="AJ380" s="70"/>
      <c r="AK380" s="70"/>
      <c r="AL380" s="70"/>
      <c r="AM380" s="70"/>
      <c r="AN380" s="70"/>
      <c r="AO380" s="70"/>
      <c r="AP380" s="70"/>
      <c r="AQ380" s="83"/>
      <c r="AR380" s="70"/>
      <c r="AS380" s="70"/>
      <c r="AT380" s="70"/>
      <c r="AU380" s="70">
        <f t="shared" si="55"/>
        <v>0</v>
      </c>
      <c r="AV380" s="70" t="e">
        <f t="shared" si="56"/>
        <v>#N/A</v>
      </c>
      <c r="AW380" s="70">
        <f t="shared" si="57"/>
        <v>0.98227756394836641</v>
      </c>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c r="DX380" s="70"/>
      <c r="DY380" s="70"/>
      <c r="DZ380" s="70"/>
      <c r="EA380" s="70"/>
      <c r="EB380" s="70"/>
      <c r="EC380" s="70"/>
      <c r="ED380" s="70"/>
      <c r="EE380" s="70"/>
      <c r="EF380" s="70"/>
      <c r="EG380" s="70"/>
    </row>
    <row r="381" spans="1:137" outlineLevel="1" x14ac:dyDescent="0.2">
      <c r="A381" s="17">
        <v>91</v>
      </c>
      <c r="B381" s="17">
        <v>1</v>
      </c>
      <c r="C381" s="2">
        <v>0.91228392209626319</v>
      </c>
      <c r="D381" s="2">
        <f t="shared" si="49"/>
        <v>8.7716077903736811E-2</v>
      </c>
      <c r="E381" s="2">
        <f t="shared" si="50"/>
        <v>0.18360803853843699</v>
      </c>
      <c r="F381" s="2">
        <f t="shared" si="51"/>
        <v>0.42849508578096551</v>
      </c>
      <c r="G381" s="2">
        <f t="shared" si="52"/>
        <v>0.31008059719247527</v>
      </c>
      <c r="H381" s="2">
        <v>2.371575703837428E-2</v>
      </c>
      <c r="I381" s="2">
        <f t="shared" si="53"/>
        <v>1.1961995109042876E-3</v>
      </c>
      <c r="J381" s="2">
        <f t="shared" si="54"/>
        <v>0.31382421548234712</v>
      </c>
      <c r="AJ381" s="70"/>
      <c r="AK381" s="70"/>
      <c r="AL381" s="70"/>
      <c r="AM381" s="70"/>
      <c r="AN381" s="70"/>
      <c r="AO381" s="70"/>
      <c r="AP381" s="70"/>
      <c r="AQ381" s="83"/>
      <c r="AR381" s="70"/>
      <c r="AS381" s="70"/>
      <c r="AT381" s="70"/>
      <c r="AU381" s="70">
        <f t="shared" si="55"/>
        <v>0</v>
      </c>
      <c r="AV381" s="70" t="e">
        <f t="shared" si="56"/>
        <v>#N/A</v>
      </c>
      <c r="AW381" s="70">
        <f t="shared" si="57"/>
        <v>0.91228392209626319</v>
      </c>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c r="CO381" s="70"/>
      <c r="CP381" s="70"/>
      <c r="CQ381" s="70"/>
      <c r="CR381" s="70"/>
      <c r="CS381" s="70"/>
      <c r="CT381" s="70"/>
      <c r="CU381" s="70"/>
      <c r="CV381" s="70"/>
      <c r="CW381" s="70"/>
      <c r="CX381" s="70"/>
      <c r="CY381" s="70"/>
      <c r="CZ381" s="70"/>
      <c r="DA381" s="70"/>
      <c r="DB381" s="70"/>
      <c r="DC381" s="70"/>
      <c r="DD381" s="70"/>
      <c r="DE381" s="70"/>
      <c r="DF381" s="70"/>
      <c r="DG381" s="70"/>
      <c r="DH381" s="70"/>
      <c r="DI381" s="70"/>
      <c r="DJ381" s="70"/>
      <c r="DK381" s="70"/>
      <c r="DL381" s="70"/>
      <c r="DM381" s="70"/>
      <c r="DN381" s="70"/>
      <c r="DO381" s="70"/>
      <c r="DP381" s="70"/>
      <c r="DQ381" s="70"/>
      <c r="DR381" s="70"/>
      <c r="DS381" s="70"/>
      <c r="DT381" s="70"/>
      <c r="DU381" s="70"/>
      <c r="DV381" s="70"/>
      <c r="DW381" s="70"/>
      <c r="DX381" s="70"/>
      <c r="DY381" s="70"/>
      <c r="DZ381" s="70"/>
      <c r="EA381" s="70"/>
      <c r="EB381" s="70"/>
      <c r="EC381" s="70"/>
      <c r="ED381" s="70"/>
      <c r="EE381" s="70"/>
      <c r="EF381" s="70"/>
      <c r="EG381" s="70"/>
    </row>
    <row r="382" spans="1:137" outlineLevel="1" x14ac:dyDescent="0.2">
      <c r="A382" s="17">
        <v>92</v>
      </c>
      <c r="B382" s="17">
        <v>1</v>
      </c>
      <c r="C382" s="2">
        <v>0.26140211633255245</v>
      </c>
      <c r="D382" s="2">
        <f t="shared" si="49"/>
        <v>0.73859788366744761</v>
      </c>
      <c r="E382" s="2">
        <f t="shared" si="50"/>
        <v>2.6833907633576697</v>
      </c>
      <c r="F382" s="2">
        <f t="shared" si="51"/>
        <v>1.6381058462009315</v>
      </c>
      <c r="G382" s="2">
        <f t="shared" si="52"/>
        <v>1.6809294254768077</v>
      </c>
      <c r="H382" s="2">
        <v>2.1155844393822249E-2</v>
      </c>
      <c r="I382" s="2">
        <f t="shared" si="53"/>
        <v>3.1194083022656253E-2</v>
      </c>
      <c r="J382" s="2">
        <f t="shared" si="54"/>
        <v>1.6989973587814176</v>
      </c>
      <c r="AJ382" s="70"/>
      <c r="AK382" s="70"/>
      <c r="AL382" s="70"/>
      <c r="AM382" s="70"/>
      <c r="AN382" s="70"/>
      <c r="AO382" s="70"/>
      <c r="AP382" s="70"/>
      <c r="AQ382" s="83"/>
      <c r="AR382" s="70"/>
      <c r="AS382" s="70"/>
      <c r="AT382" s="70"/>
      <c r="AU382" s="70">
        <f t="shared" si="55"/>
        <v>0</v>
      </c>
      <c r="AV382" s="70" t="e">
        <f t="shared" si="56"/>
        <v>#N/A</v>
      </c>
      <c r="AW382" s="70">
        <f t="shared" si="57"/>
        <v>0.26140211633255245</v>
      </c>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c r="CS382" s="70"/>
      <c r="CT382" s="70"/>
      <c r="CU382" s="70"/>
      <c r="CV382" s="70"/>
      <c r="CW382" s="70"/>
      <c r="CX382" s="70"/>
      <c r="CY382" s="70"/>
      <c r="CZ382" s="70"/>
      <c r="DA382" s="70"/>
      <c r="DB382" s="70"/>
      <c r="DC382" s="70"/>
      <c r="DD382" s="70"/>
      <c r="DE382" s="70"/>
      <c r="DF382" s="70"/>
      <c r="DG382" s="70"/>
      <c r="DH382" s="70"/>
      <c r="DI382" s="70"/>
      <c r="DJ382" s="70"/>
      <c r="DK382" s="70"/>
      <c r="DL382" s="70"/>
      <c r="DM382" s="70"/>
      <c r="DN382" s="70"/>
      <c r="DO382" s="70"/>
      <c r="DP382" s="70"/>
      <c r="DQ382" s="70"/>
      <c r="DR382" s="70"/>
      <c r="DS382" s="70"/>
      <c r="DT382" s="70"/>
      <c r="DU382" s="70"/>
      <c r="DV382" s="70"/>
      <c r="DW382" s="70"/>
      <c r="DX382" s="70"/>
      <c r="DY382" s="70"/>
      <c r="DZ382" s="70"/>
      <c r="EA382" s="70"/>
      <c r="EB382" s="70"/>
      <c r="EC382" s="70"/>
      <c r="ED382" s="70"/>
      <c r="EE382" s="70"/>
      <c r="EF382" s="70"/>
      <c r="EG382" s="70"/>
    </row>
    <row r="383" spans="1:137" outlineLevel="1" x14ac:dyDescent="0.2">
      <c r="A383" s="17">
        <v>93</v>
      </c>
      <c r="B383" s="17">
        <v>1</v>
      </c>
      <c r="C383" s="2">
        <v>0.36339994235213879</v>
      </c>
      <c r="D383" s="2">
        <f t="shared" si="49"/>
        <v>0.63660005764786121</v>
      </c>
      <c r="E383" s="2">
        <f t="shared" si="50"/>
        <v>2.0245025633096194</v>
      </c>
      <c r="F383" s="2">
        <f t="shared" si="51"/>
        <v>1.422850154903748</v>
      </c>
      <c r="G383" s="2">
        <f t="shared" si="52"/>
        <v>1.3235516987107203</v>
      </c>
      <c r="H383" s="2">
        <v>1.9278956066364653E-2</v>
      </c>
      <c r="I383" s="2">
        <f t="shared" si="53"/>
        <v>1.7556759049205267E-2</v>
      </c>
      <c r="J383" s="2">
        <f t="shared" si="54"/>
        <v>1.336497536580479</v>
      </c>
      <c r="AJ383" s="70"/>
      <c r="AK383" s="70"/>
      <c r="AL383" s="70"/>
      <c r="AM383" s="70"/>
      <c r="AN383" s="70"/>
      <c r="AO383" s="70"/>
      <c r="AP383" s="70"/>
      <c r="AQ383" s="83"/>
      <c r="AR383" s="70"/>
      <c r="AS383" s="70"/>
      <c r="AT383" s="70"/>
      <c r="AU383" s="70">
        <f t="shared" si="55"/>
        <v>0</v>
      </c>
      <c r="AV383" s="70" t="e">
        <f t="shared" si="56"/>
        <v>#N/A</v>
      </c>
      <c r="AW383" s="70">
        <f t="shared" si="57"/>
        <v>0.36339994235213879</v>
      </c>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c r="CS383" s="70"/>
      <c r="CT383" s="70"/>
      <c r="CU383" s="70"/>
      <c r="CV383" s="70"/>
      <c r="CW383" s="70"/>
      <c r="CX383" s="70"/>
      <c r="CY383" s="70"/>
      <c r="CZ383" s="70"/>
      <c r="DA383" s="70"/>
      <c r="DB383" s="70"/>
      <c r="DC383" s="70"/>
      <c r="DD383" s="70"/>
      <c r="DE383" s="70"/>
      <c r="DF383" s="70"/>
      <c r="DG383" s="70"/>
      <c r="DH383" s="70"/>
      <c r="DI383" s="70"/>
      <c r="DJ383" s="70"/>
      <c r="DK383" s="70"/>
      <c r="DL383" s="70"/>
      <c r="DM383" s="70"/>
      <c r="DN383" s="70"/>
      <c r="DO383" s="70"/>
      <c r="DP383" s="70"/>
      <c r="DQ383" s="70"/>
      <c r="DR383" s="70"/>
      <c r="DS383" s="70"/>
      <c r="DT383" s="70"/>
      <c r="DU383" s="70"/>
      <c r="DV383" s="70"/>
      <c r="DW383" s="70"/>
      <c r="DX383" s="70"/>
      <c r="DY383" s="70"/>
      <c r="DZ383" s="70"/>
      <c r="EA383" s="70"/>
      <c r="EB383" s="70"/>
      <c r="EC383" s="70"/>
      <c r="ED383" s="70"/>
      <c r="EE383" s="70"/>
      <c r="EF383" s="70"/>
      <c r="EG383" s="70"/>
    </row>
    <row r="384" spans="1:137" outlineLevel="1" x14ac:dyDescent="0.2">
      <c r="A384" s="17">
        <v>94</v>
      </c>
      <c r="B384" s="17">
        <v>0</v>
      </c>
      <c r="C384" s="2">
        <v>2.5734393494275334E-2</v>
      </c>
      <c r="D384" s="2">
        <f t="shared" si="49"/>
        <v>-2.5734393494275334E-2</v>
      </c>
      <c r="E384" s="2">
        <f t="shared" si="50"/>
        <v>5.2142631793558568E-2</v>
      </c>
      <c r="F384" s="2">
        <f t="shared" si="51"/>
        <v>-0.22834761175356874</v>
      </c>
      <c r="G384" s="2">
        <f t="shared" si="52"/>
        <v>-0.16252429205693811</v>
      </c>
      <c r="H384" s="2">
        <v>1.3906775040676405E-2</v>
      </c>
      <c r="I384" s="2">
        <f t="shared" si="53"/>
        <v>1.8888481703836793E-4</v>
      </c>
      <c r="J384" s="2">
        <f t="shared" si="54"/>
        <v>-0.1636663116996511</v>
      </c>
      <c r="AJ384" s="70"/>
      <c r="AK384" s="70"/>
      <c r="AL384" s="70"/>
      <c r="AM384" s="70"/>
      <c r="AN384" s="70"/>
      <c r="AO384" s="70"/>
      <c r="AP384" s="70"/>
      <c r="AQ384" s="83"/>
      <c r="AR384" s="70"/>
      <c r="AS384" s="70"/>
      <c r="AT384" s="70"/>
      <c r="AU384" s="70">
        <f t="shared" si="55"/>
        <v>1</v>
      </c>
      <c r="AV384" s="70">
        <f t="shared" si="56"/>
        <v>2.5734393494275334E-2</v>
      </c>
      <c r="AW384" s="70" t="e">
        <f t="shared" si="57"/>
        <v>#N/A</v>
      </c>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c r="CO384" s="70"/>
      <c r="CP384" s="70"/>
      <c r="CQ384" s="70"/>
      <c r="CR384" s="70"/>
      <c r="CS384" s="70"/>
      <c r="CT384" s="70"/>
      <c r="CU384" s="70"/>
      <c r="CV384" s="70"/>
      <c r="CW384" s="70"/>
      <c r="CX384" s="70"/>
      <c r="CY384" s="70"/>
      <c r="CZ384" s="70"/>
      <c r="DA384" s="70"/>
      <c r="DB384" s="70"/>
      <c r="DC384" s="70"/>
      <c r="DD384" s="70"/>
      <c r="DE384" s="70"/>
      <c r="DF384" s="70"/>
      <c r="DG384" s="70"/>
      <c r="DH384" s="70"/>
      <c r="DI384" s="70"/>
      <c r="DJ384" s="70"/>
      <c r="DK384" s="70"/>
      <c r="DL384" s="70"/>
      <c r="DM384" s="70"/>
      <c r="DN384" s="70"/>
      <c r="DO384" s="70"/>
      <c r="DP384" s="70"/>
      <c r="DQ384" s="70"/>
      <c r="DR384" s="70"/>
      <c r="DS384" s="70"/>
      <c r="DT384" s="70"/>
      <c r="DU384" s="70"/>
      <c r="DV384" s="70"/>
      <c r="DW384" s="70"/>
      <c r="DX384" s="70"/>
      <c r="DY384" s="70"/>
      <c r="DZ384" s="70"/>
      <c r="EA384" s="70"/>
      <c r="EB384" s="70"/>
      <c r="EC384" s="70"/>
      <c r="ED384" s="70"/>
      <c r="EE384" s="70"/>
      <c r="EF384" s="70"/>
      <c r="EG384" s="70"/>
    </row>
    <row r="385" spans="1:137" outlineLevel="1" x14ac:dyDescent="0.2">
      <c r="A385" s="17">
        <v>95</v>
      </c>
      <c r="B385" s="17">
        <v>0</v>
      </c>
      <c r="C385" s="2">
        <v>0.40374058541645502</v>
      </c>
      <c r="D385" s="2">
        <f t="shared" si="49"/>
        <v>-0.40374058541645502</v>
      </c>
      <c r="E385" s="2">
        <f t="shared" si="50"/>
        <v>1.034158894492609</v>
      </c>
      <c r="F385" s="2">
        <f t="shared" si="51"/>
        <v>-1.0169360326454211</v>
      </c>
      <c r="G385" s="2">
        <f t="shared" si="52"/>
        <v>-0.82287445322582087</v>
      </c>
      <c r="H385" s="2">
        <v>1.8817728400255637E-2</v>
      </c>
      <c r="I385" s="2">
        <f t="shared" si="53"/>
        <v>6.6176679819618727E-3</v>
      </c>
      <c r="J385" s="2">
        <f t="shared" si="54"/>
        <v>-0.83072777898548822</v>
      </c>
      <c r="AJ385" s="70"/>
      <c r="AK385" s="70"/>
      <c r="AL385" s="70"/>
      <c r="AM385" s="70"/>
      <c r="AN385" s="70"/>
      <c r="AO385" s="70"/>
      <c r="AP385" s="70"/>
      <c r="AQ385" s="83"/>
      <c r="AR385" s="70"/>
      <c r="AS385" s="70"/>
      <c r="AT385" s="70"/>
      <c r="AU385" s="70">
        <f t="shared" si="55"/>
        <v>1</v>
      </c>
      <c r="AV385" s="70">
        <f t="shared" si="56"/>
        <v>0.40374058541645502</v>
      </c>
      <c r="AW385" s="70" t="e">
        <f t="shared" si="57"/>
        <v>#N/A</v>
      </c>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c r="BV385" s="70"/>
      <c r="BW385" s="70"/>
      <c r="BX385" s="70"/>
      <c r="BY385" s="70"/>
      <c r="BZ385" s="70"/>
      <c r="CA385" s="70"/>
      <c r="CB385" s="70"/>
      <c r="CC385" s="70"/>
      <c r="CD385" s="70"/>
      <c r="CE385" s="70"/>
      <c r="CF385" s="70"/>
      <c r="CG385" s="70"/>
      <c r="CH385" s="70"/>
      <c r="CI385" s="70"/>
      <c r="CJ385" s="70"/>
      <c r="CK385" s="70"/>
      <c r="CL385" s="70"/>
      <c r="CM385" s="70"/>
      <c r="CN385" s="70"/>
      <c r="CO385" s="70"/>
      <c r="CP385" s="70"/>
      <c r="CQ385" s="70"/>
      <c r="CR385" s="70"/>
      <c r="CS385" s="70"/>
      <c r="CT385" s="70"/>
      <c r="CU385" s="70"/>
      <c r="CV385" s="70"/>
      <c r="CW385" s="70"/>
      <c r="CX385" s="70"/>
      <c r="CY385" s="70"/>
      <c r="CZ385" s="70"/>
      <c r="DA385" s="70"/>
      <c r="DB385" s="70"/>
      <c r="DC385" s="70"/>
      <c r="DD385" s="70"/>
      <c r="DE385" s="70"/>
      <c r="DF385" s="70"/>
      <c r="DG385" s="70"/>
      <c r="DH385" s="70"/>
      <c r="DI385" s="70"/>
      <c r="DJ385" s="70"/>
      <c r="DK385" s="70"/>
      <c r="DL385" s="70"/>
      <c r="DM385" s="70"/>
      <c r="DN385" s="70"/>
      <c r="DO385" s="70"/>
      <c r="DP385" s="70"/>
      <c r="DQ385" s="70"/>
      <c r="DR385" s="70"/>
      <c r="DS385" s="70"/>
      <c r="DT385" s="70"/>
      <c r="DU385" s="70"/>
      <c r="DV385" s="70"/>
      <c r="DW385" s="70"/>
      <c r="DX385" s="70"/>
      <c r="DY385" s="70"/>
      <c r="DZ385" s="70"/>
      <c r="EA385" s="70"/>
      <c r="EB385" s="70"/>
      <c r="EC385" s="70"/>
      <c r="ED385" s="70"/>
      <c r="EE385" s="70"/>
      <c r="EF385" s="70"/>
      <c r="EG385" s="70"/>
    </row>
    <row r="386" spans="1:137" outlineLevel="1" x14ac:dyDescent="0.2">
      <c r="A386" s="17">
        <v>96</v>
      </c>
      <c r="B386" s="17">
        <v>0</v>
      </c>
      <c r="C386" s="2">
        <v>0.29567908428073802</v>
      </c>
      <c r="D386" s="2">
        <f t="shared" si="49"/>
        <v>-0.29567908428073802</v>
      </c>
      <c r="E386" s="2">
        <f t="shared" si="50"/>
        <v>0.70104236099654604</v>
      </c>
      <c r="F386" s="2">
        <f t="shared" si="51"/>
        <v>-0.83728272464953324</v>
      </c>
      <c r="G386" s="2">
        <f t="shared" si="52"/>
        <v>-0.64792540596030945</v>
      </c>
      <c r="H386" s="2">
        <v>2.0453155130272484E-2</v>
      </c>
      <c r="I386" s="2">
        <f t="shared" si="53"/>
        <v>4.4743496117306001E-3</v>
      </c>
      <c r="J386" s="2">
        <f t="shared" si="54"/>
        <v>-0.65465487226389862</v>
      </c>
      <c r="AJ386" s="70"/>
      <c r="AK386" s="70"/>
      <c r="AL386" s="70"/>
      <c r="AM386" s="70"/>
      <c r="AN386" s="70"/>
      <c r="AO386" s="70"/>
      <c r="AP386" s="70"/>
      <c r="AQ386" s="83"/>
      <c r="AR386" s="70"/>
      <c r="AS386" s="70"/>
      <c r="AT386" s="70"/>
      <c r="AU386" s="70">
        <f t="shared" si="55"/>
        <v>1</v>
      </c>
      <c r="AV386" s="70">
        <f t="shared" si="56"/>
        <v>0.29567908428073802</v>
      </c>
      <c r="AW386" s="70" t="e">
        <f t="shared" si="57"/>
        <v>#N/A</v>
      </c>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c r="CO386" s="70"/>
      <c r="CP386" s="70"/>
      <c r="CQ386" s="70"/>
      <c r="CR386" s="70"/>
      <c r="CS386" s="70"/>
      <c r="CT386" s="70"/>
      <c r="CU386" s="70"/>
      <c r="CV386" s="70"/>
      <c r="CW386" s="70"/>
      <c r="CX386" s="70"/>
      <c r="CY386" s="70"/>
      <c r="CZ386" s="70"/>
      <c r="DA386" s="70"/>
      <c r="DB386" s="70"/>
      <c r="DC386" s="70"/>
      <c r="DD386" s="70"/>
      <c r="DE386" s="70"/>
      <c r="DF386" s="70"/>
      <c r="DG386" s="70"/>
      <c r="DH386" s="70"/>
      <c r="DI386" s="70"/>
      <c r="DJ386" s="70"/>
      <c r="DK386" s="70"/>
      <c r="DL386" s="70"/>
      <c r="DM386" s="70"/>
      <c r="DN386" s="70"/>
      <c r="DO386" s="70"/>
      <c r="DP386" s="70"/>
      <c r="DQ386" s="70"/>
      <c r="DR386" s="70"/>
      <c r="DS386" s="70"/>
      <c r="DT386" s="70"/>
      <c r="DU386" s="70"/>
      <c r="DV386" s="70"/>
      <c r="DW386" s="70"/>
      <c r="DX386" s="70"/>
      <c r="DY386" s="70"/>
      <c r="DZ386" s="70"/>
      <c r="EA386" s="70"/>
      <c r="EB386" s="70"/>
      <c r="EC386" s="70"/>
      <c r="ED386" s="70"/>
      <c r="EE386" s="70"/>
      <c r="EF386" s="70"/>
      <c r="EG386" s="70"/>
    </row>
    <row r="387" spans="1:137" outlineLevel="1" x14ac:dyDescent="0.2">
      <c r="A387" s="17">
        <v>97</v>
      </c>
      <c r="B387" s="17">
        <v>0</v>
      </c>
      <c r="C387" s="2">
        <v>0.72630812045191817</v>
      </c>
      <c r="D387" s="2">
        <f t="shared" si="49"/>
        <v>-0.72630812045191817</v>
      </c>
      <c r="E387" s="2">
        <f t="shared" si="50"/>
        <v>2.5915046650919362</v>
      </c>
      <c r="F387" s="2">
        <f t="shared" si="51"/>
        <v>-1.6098151027655121</v>
      </c>
      <c r="G387" s="2">
        <f t="shared" si="52"/>
        <v>-1.6290315438126466</v>
      </c>
      <c r="H387" s="2">
        <v>2.3152665030359239E-2</v>
      </c>
      <c r="I387" s="2">
        <f t="shared" si="53"/>
        <v>3.2194122228792268E-2</v>
      </c>
      <c r="J387" s="2">
        <f t="shared" si="54"/>
        <v>-1.6482236667814172</v>
      </c>
      <c r="AJ387" s="70"/>
      <c r="AK387" s="70"/>
      <c r="AL387" s="70"/>
      <c r="AM387" s="70"/>
      <c r="AN387" s="70"/>
      <c r="AO387" s="70"/>
      <c r="AP387" s="70"/>
      <c r="AQ387" s="83"/>
      <c r="AR387" s="70"/>
      <c r="AS387" s="70"/>
      <c r="AT387" s="70"/>
      <c r="AU387" s="70">
        <f t="shared" si="55"/>
        <v>1</v>
      </c>
      <c r="AV387" s="70">
        <f t="shared" si="56"/>
        <v>0.72630812045191817</v>
      </c>
      <c r="AW387" s="70" t="e">
        <f t="shared" si="57"/>
        <v>#N/A</v>
      </c>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c r="BV387" s="70"/>
      <c r="BW387" s="70"/>
      <c r="BX387" s="70"/>
      <c r="BY387" s="70"/>
      <c r="BZ387" s="70"/>
      <c r="CA387" s="70"/>
      <c r="CB387" s="70"/>
      <c r="CC387" s="70"/>
      <c r="CD387" s="70"/>
      <c r="CE387" s="70"/>
      <c r="CF387" s="70"/>
      <c r="CG387" s="70"/>
      <c r="CH387" s="70"/>
      <c r="CI387" s="70"/>
      <c r="CJ387" s="70"/>
      <c r="CK387" s="70"/>
      <c r="CL387" s="70"/>
      <c r="CM387" s="70"/>
      <c r="CN387" s="70"/>
      <c r="CO387" s="70"/>
      <c r="CP387" s="70"/>
      <c r="CQ387" s="70"/>
      <c r="CR387" s="70"/>
      <c r="CS387" s="70"/>
      <c r="CT387" s="70"/>
      <c r="CU387" s="70"/>
      <c r="CV387" s="70"/>
      <c r="CW387" s="70"/>
      <c r="CX387" s="70"/>
      <c r="CY387" s="70"/>
      <c r="CZ387" s="70"/>
      <c r="DA387" s="70"/>
      <c r="DB387" s="70"/>
      <c r="DC387" s="70"/>
      <c r="DD387" s="70"/>
      <c r="DE387" s="70"/>
      <c r="DF387" s="70"/>
      <c r="DG387" s="70"/>
      <c r="DH387" s="70"/>
      <c r="DI387" s="70"/>
      <c r="DJ387" s="70"/>
      <c r="DK387" s="70"/>
      <c r="DL387" s="70"/>
      <c r="DM387" s="70"/>
      <c r="DN387" s="70"/>
      <c r="DO387" s="70"/>
      <c r="DP387" s="70"/>
      <c r="DQ387" s="70"/>
      <c r="DR387" s="70"/>
      <c r="DS387" s="70"/>
      <c r="DT387" s="70"/>
      <c r="DU387" s="70"/>
      <c r="DV387" s="70"/>
      <c r="DW387" s="70"/>
      <c r="DX387" s="70"/>
      <c r="DY387" s="70"/>
      <c r="DZ387" s="70"/>
      <c r="EA387" s="70"/>
      <c r="EB387" s="70"/>
      <c r="EC387" s="70"/>
      <c r="ED387" s="70"/>
      <c r="EE387" s="70"/>
      <c r="EF387" s="70"/>
      <c r="EG387" s="70"/>
    </row>
    <row r="388" spans="1:137" outlineLevel="1" x14ac:dyDescent="0.2">
      <c r="A388" s="17">
        <v>98</v>
      </c>
      <c r="B388" s="17">
        <v>0</v>
      </c>
      <c r="C388" s="2">
        <v>0.24211215579108977</v>
      </c>
      <c r="D388" s="2">
        <f t="shared" si="49"/>
        <v>-0.24211215579108977</v>
      </c>
      <c r="E388" s="2">
        <f t="shared" si="50"/>
        <v>0.55443973414483427</v>
      </c>
      <c r="F388" s="2">
        <f t="shared" si="51"/>
        <v>-0.7446071005200221</v>
      </c>
      <c r="G388" s="2">
        <f t="shared" si="52"/>
        <v>-0.56520478073932312</v>
      </c>
      <c r="H388" s="2">
        <v>2.1552237054359234E-2</v>
      </c>
      <c r="I388" s="2">
        <f t="shared" si="53"/>
        <v>3.5958264575803802E-3</v>
      </c>
      <c r="J388" s="2">
        <f t="shared" si="54"/>
        <v>-0.57139574803922621</v>
      </c>
      <c r="AJ388" s="70"/>
      <c r="AK388" s="70"/>
      <c r="AL388" s="70"/>
      <c r="AM388" s="70"/>
      <c r="AN388" s="70"/>
      <c r="AO388" s="70"/>
      <c r="AP388" s="70"/>
      <c r="AQ388" s="83"/>
      <c r="AR388" s="70"/>
      <c r="AS388" s="70"/>
      <c r="AT388" s="70"/>
      <c r="AU388" s="70">
        <f t="shared" si="55"/>
        <v>1</v>
      </c>
      <c r="AV388" s="70">
        <f t="shared" si="56"/>
        <v>0.24211215579108977</v>
      </c>
      <c r="AW388" s="70" t="e">
        <f t="shared" si="57"/>
        <v>#N/A</v>
      </c>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c r="CO388" s="70"/>
      <c r="CP388" s="70"/>
      <c r="CQ388" s="70"/>
      <c r="CR388" s="70"/>
      <c r="CS388" s="70"/>
      <c r="CT388" s="70"/>
      <c r="CU388" s="70"/>
      <c r="CV388" s="70"/>
      <c r="CW388" s="70"/>
      <c r="CX388" s="70"/>
      <c r="CY388" s="70"/>
      <c r="CZ388" s="70"/>
      <c r="DA388" s="70"/>
      <c r="DB388" s="70"/>
      <c r="DC388" s="70"/>
      <c r="DD388" s="70"/>
      <c r="DE388" s="70"/>
      <c r="DF388" s="70"/>
      <c r="DG388" s="70"/>
      <c r="DH388" s="70"/>
      <c r="DI388" s="70"/>
      <c r="DJ388" s="70"/>
      <c r="DK388" s="70"/>
      <c r="DL388" s="70"/>
      <c r="DM388" s="70"/>
      <c r="DN388" s="70"/>
      <c r="DO388" s="70"/>
      <c r="DP388" s="70"/>
      <c r="DQ388" s="70"/>
      <c r="DR388" s="70"/>
      <c r="DS388" s="70"/>
      <c r="DT388" s="70"/>
      <c r="DU388" s="70"/>
      <c r="DV388" s="70"/>
      <c r="DW388" s="70"/>
      <c r="DX388" s="70"/>
      <c r="DY388" s="70"/>
      <c r="DZ388" s="70"/>
      <c r="EA388" s="70"/>
      <c r="EB388" s="70"/>
      <c r="EC388" s="70"/>
      <c r="ED388" s="70"/>
      <c r="EE388" s="70"/>
      <c r="EF388" s="70"/>
      <c r="EG388" s="70"/>
    </row>
    <row r="389" spans="1:137" outlineLevel="1" x14ac:dyDescent="0.2">
      <c r="A389" s="17">
        <v>99</v>
      </c>
      <c r="B389" s="17">
        <v>1</v>
      </c>
      <c r="C389" s="2">
        <v>0.96316624842183407</v>
      </c>
      <c r="D389" s="2">
        <f t="shared" si="49"/>
        <v>3.683375157816593E-2</v>
      </c>
      <c r="E389" s="2">
        <f t="shared" si="50"/>
        <v>7.5058492263644874E-2</v>
      </c>
      <c r="F389" s="2">
        <f t="shared" si="51"/>
        <v>0.27396804971318256</v>
      </c>
      <c r="G389" s="2">
        <f t="shared" si="52"/>
        <v>0.19555654223463292</v>
      </c>
      <c r="H389" s="2">
        <v>1.7661804440020093E-2</v>
      </c>
      <c r="I389" s="2">
        <f t="shared" si="53"/>
        <v>3.4996749893854078E-4</v>
      </c>
      <c r="J389" s="2">
        <f t="shared" si="54"/>
        <v>0.1973067005795536</v>
      </c>
      <c r="AJ389" s="70"/>
      <c r="AK389" s="70"/>
      <c r="AL389" s="70"/>
      <c r="AM389" s="70"/>
      <c r="AN389" s="70"/>
      <c r="AO389" s="70"/>
      <c r="AP389" s="70"/>
      <c r="AQ389" s="83"/>
      <c r="AR389" s="70"/>
      <c r="AS389" s="70"/>
      <c r="AT389" s="70"/>
      <c r="AU389" s="70">
        <f t="shared" si="55"/>
        <v>0</v>
      </c>
      <c r="AV389" s="70" t="e">
        <f t="shared" si="56"/>
        <v>#N/A</v>
      </c>
      <c r="AW389" s="70">
        <f t="shared" si="57"/>
        <v>0.96316624842183407</v>
      </c>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c r="CO389" s="70"/>
      <c r="CP389" s="70"/>
      <c r="CQ389" s="70"/>
      <c r="CR389" s="70"/>
      <c r="CS389" s="70"/>
      <c r="CT389" s="70"/>
      <c r="CU389" s="70"/>
      <c r="CV389" s="70"/>
      <c r="CW389" s="70"/>
      <c r="CX389" s="70"/>
      <c r="CY389" s="70"/>
      <c r="CZ389" s="70"/>
      <c r="DA389" s="70"/>
      <c r="DB389" s="70"/>
      <c r="DC389" s="70"/>
      <c r="DD389" s="70"/>
      <c r="DE389" s="70"/>
      <c r="DF389" s="70"/>
      <c r="DG389" s="70"/>
      <c r="DH389" s="70"/>
      <c r="DI389" s="70"/>
      <c r="DJ389" s="70"/>
      <c r="DK389" s="70"/>
      <c r="DL389" s="70"/>
      <c r="DM389" s="70"/>
      <c r="DN389" s="70"/>
      <c r="DO389" s="70"/>
      <c r="DP389" s="70"/>
      <c r="DQ389" s="70"/>
      <c r="DR389" s="70"/>
      <c r="DS389" s="70"/>
      <c r="DT389" s="70"/>
      <c r="DU389" s="70"/>
      <c r="DV389" s="70"/>
      <c r="DW389" s="70"/>
      <c r="DX389" s="70"/>
      <c r="DY389" s="70"/>
      <c r="DZ389" s="70"/>
      <c r="EA389" s="70"/>
      <c r="EB389" s="70"/>
      <c r="EC389" s="70"/>
      <c r="ED389" s="70"/>
      <c r="EE389" s="70"/>
      <c r="EF389" s="70"/>
      <c r="EG389" s="70"/>
    </row>
    <row r="390" spans="1:137" outlineLevel="1" x14ac:dyDescent="0.2">
      <c r="A390" s="17">
        <v>100</v>
      </c>
      <c r="B390" s="17">
        <v>0</v>
      </c>
      <c r="C390" s="2">
        <v>0.26804839158419008</v>
      </c>
      <c r="D390" s="2">
        <f t="shared" si="49"/>
        <v>-0.26804839158419008</v>
      </c>
      <c r="E390" s="2">
        <f t="shared" si="50"/>
        <v>0.62408175185534864</v>
      </c>
      <c r="F390" s="2">
        <f t="shared" si="51"/>
        <v>-0.78998845045693467</v>
      </c>
      <c r="G390" s="2">
        <f t="shared" si="52"/>
        <v>-0.60515331694640317</v>
      </c>
      <c r="H390" s="2">
        <v>2.101794856775319E-2</v>
      </c>
      <c r="I390" s="2">
        <f t="shared" si="53"/>
        <v>4.0155191954647272E-3</v>
      </c>
      <c r="J390" s="2">
        <f t="shared" si="54"/>
        <v>-0.61161489472569031</v>
      </c>
      <c r="AJ390" s="70"/>
      <c r="AK390" s="70"/>
      <c r="AL390" s="70"/>
      <c r="AM390" s="70"/>
      <c r="AN390" s="70"/>
      <c r="AO390" s="70"/>
      <c r="AP390" s="70"/>
      <c r="AQ390" s="83"/>
      <c r="AR390" s="70"/>
      <c r="AS390" s="70"/>
      <c r="AT390" s="70"/>
      <c r="AU390" s="70">
        <f t="shared" si="55"/>
        <v>1</v>
      </c>
      <c r="AV390" s="70">
        <f t="shared" si="56"/>
        <v>0.26804839158419008</v>
      </c>
      <c r="AW390" s="70" t="e">
        <f t="shared" si="57"/>
        <v>#N/A</v>
      </c>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0"/>
      <c r="CB390" s="70"/>
      <c r="CC390" s="70"/>
      <c r="CD390" s="70"/>
      <c r="CE390" s="70"/>
      <c r="CF390" s="70"/>
      <c r="CG390" s="70"/>
      <c r="CH390" s="70"/>
      <c r="CI390" s="70"/>
      <c r="CJ390" s="70"/>
      <c r="CK390" s="70"/>
      <c r="CL390" s="70"/>
      <c r="CM390" s="70"/>
      <c r="CN390" s="70"/>
      <c r="CO390" s="70"/>
      <c r="CP390" s="70"/>
      <c r="CQ390" s="70"/>
      <c r="CR390" s="70"/>
      <c r="CS390" s="70"/>
      <c r="CT390" s="70"/>
      <c r="CU390" s="70"/>
      <c r="CV390" s="70"/>
      <c r="CW390" s="70"/>
      <c r="CX390" s="70"/>
      <c r="CY390" s="70"/>
      <c r="CZ390" s="70"/>
      <c r="DA390" s="70"/>
      <c r="DB390" s="70"/>
      <c r="DC390" s="70"/>
      <c r="DD390" s="70"/>
      <c r="DE390" s="70"/>
      <c r="DF390" s="70"/>
      <c r="DG390" s="70"/>
      <c r="DH390" s="70"/>
      <c r="DI390" s="70"/>
      <c r="DJ390" s="70"/>
      <c r="DK390" s="70"/>
      <c r="DL390" s="70"/>
      <c r="DM390" s="70"/>
      <c r="DN390" s="70"/>
      <c r="DO390" s="70"/>
      <c r="DP390" s="70"/>
      <c r="DQ390" s="70"/>
      <c r="DR390" s="70"/>
      <c r="DS390" s="70"/>
      <c r="DT390" s="70"/>
      <c r="DU390" s="70"/>
      <c r="DV390" s="70"/>
      <c r="DW390" s="70"/>
      <c r="DX390" s="70"/>
      <c r="DY390" s="70"/>
      <c r="DZ390" s="70"/>
      <c r="EA390" s="70"/>
      <c r="EB390" s="70"/>
      <c r="EC390" s="70"/>
      <c r="ED390" s="70"/>
      <c r="EE390" s="70"/>
      <c r="EF390" s="70"/>
      <c r="EG390" s="70"/>
    </row>
  </sheetData>
  <conditionalFormatting sqref="D69 B70:D70 E65:F65">
    <cfRule type="expression" dxfId="3" priority="4">
      <formula>$H$65&gt;0</formula>
    </cfRule>
  </conditionalFormatting>
  <conditionalFormatting sqref="B69:C69 G69:H69 B71 E71 H71">
    <cfRule type="expression" dxfId="2" priority="3">
      <formula>$H$65&gt;0</formula>
    </cfRule>
  </conditionalFormatting>
  <conditionalFormatting sqref="E75:F174">
    <cfRule type="cellIs" dxfId="1" priority="1" stopIfTrue="1" operator="equal">
      <formula>$I$2</formula>
    </cfRule>
    <cfRule type="cellIs" dxfId="0" priority="2" stopIfTrue="1" operator="equal">
      <formula>$H$2</formula>
    </cfRule>
  </conditionalFormatting>
  <dataValidations count="1">
    <dataValidation type="decimal" allowBlank="1" showInputMessage="1" showErrorMessage="1" error="Please enter a confidence level between 0 and 1." prompt="Confidence level can be adjusted between 0 and 100% to dynamically change confidence limits on this sheet." sqref="I11" xr:uid="{00000000-0002-0000-0100-000000000000}">
      <formula1>0</formula1>
      <formula2>1</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2" r:id="rId4" name="Spinner 24">
              <controlPr defaultSize="0" autoPict="0">
                <anchor moveWithCells="1" sizeWithCells="1">
                  <from>
                    <xdr:col>9</xdr:col>
                    <xdr:colOff>0</xdr:colOff>
                    <xdr:row>9</xdr:row>
                    <xdr:rowOff>0</xdr:rowOff>
                  </from>
                  <to>
                    <xdr:col>10</xdr:col>
                    <xdr:colOff>0</xdr:colOff>
                    <xdr:row>11</xdr:row>
                    <xdr:rowOff>85725</xdr:rowOff>
                  </to>
                </anchor>
              </controlPr>
            </control>
          </mc:Choice>
        </mc:AlternateContent>
        <mc:AlternateContent xmlns:mc="http://schemas.openxmlformats.org/markup-compatibility/2006">
          <mc:Choice Requires="x14">
            <control shapeId="2073" r:id="rId5" name="Spinner 25">
              <controlPr defaultSize="0" autoPict="0">
                <anchor moveWithCells="1" sizeWithCells="1">
                  <from>
                    <xdr:col>9</xdr:col>
                    <xdr:colOff>66675</xdr:colOff>
                    <xdr:row>66</xdr:row>
                    <xdr:rowOff>0</xdr:rowOff>
                  </from>
                  <to>
                    <xdr:col>10</xdr:col>
                    <xdr:colOff>66675</xdr:colOff>
                    <xdr:row>68</xdr:row>
                    <xdr:rowOff>95250</xdr:rowOff>
                  </to>
                </anchor>
              </controlPr>
            </control>
          </mc:Choice>
        </mc:AlternateContent>
        <mc:AlternateContent xmlns:mc="http://schemas.openxmlformats.org/markup-compatibility/2006">
          <mc:Choice Requires="x14">
            <control shapeId="2074" r:id="rId6" name="Spinner 26">
              <controlPr defaultSize="0" autoPict="0">
                <anchor moveWithCells="1" sizeWithCells="1">
                  <from>
                    <xdr:col>9</xdr:col>
                    <xdr:colOff>66675</xdr:colOff>
                    <xdr:row>34</xdr:row>
                    <xdr:rowOff>0</xdr:rowOff>
                  </from>
                  <to>
                    <xdr:col>10</xdr:col>
                    <xdr:colOff>66675</xdr:colOff>
                    <xdr:row>36</xdr:row>
                    <xdr:rowOff>95250</xdr:rowOff>
                  </to>
                </anchor>
              </controlPr>
            </control>
          </mc:Choice>
        </mc:AlternateContent>
        <mc:AlternateContent xmlns:mc="http://schemas.openxmlformats.org/markup-compatibility/2006">
          <mc:Choice Requires="x14">
            <control shapeId="2075" r:id="rId7" name="Spinner 27">
              <controlPr defaultSize="0" autoPict="0">
                <anchor moveWithCells="1" sizeWithCells="1">
                  <from>
                    <xdr:col>9</xdr:col>
                    <xdr:colOff>66675</xdr:colOff>
                    <xdr:row>52</xdr:row>
                    <xdr:rowOff>0</xdr:rowOff>
                  </from>
                  <to>
                    <xdr:col>10</xdr:col>
                    <xdr:colOff>66675</xdr:colOff>
                    <xdr:row>54</xdr:row>
                    <xdr:rowOff>95250</xdr:rowOff>
                  </to>
                </anchor>
              </controlPr>
            </control>
          </mc:Choice>
        </mc:AlternateContent>
        <mc:AlternateContent xmlns:mc="http://schemas.openxmlformats.org/markup-compatibility/2006">
          <mc:Choice Requires="x14">
            <control shapeId="2076" r:id="rId8" name="Spinner 28">
              <controlPr defaultSize="0" autoPict="0">
                <anchor moveWithCells="1" sizeWithCells="1">
                  <from>
                    <xdr:col>9</xdr:col>
                    <xdr:colOff>0</xdr:colOff>
                    <xdr:row>253</xdr:row>
                    <xdr:rowOff>0</xdr:rowOff>
                  </from>
                  <to>
                    <xdr:col>10</xdr:col>
                    <xdr:colOff>0</xdr:colOff>
                    <xdr:row>255</xdr:row>
                    <xdr:rowOff>95250</xdr:rowOff>
                  </to>
                </anchor>
              </controlPr>
            </control>
          </mc:Choice>
        </mc:AlternateContent>
        <mc:AlternateContent xmlns:mc="http://schemas.openxmlformats.org/markup-compatibility/2006">
          <mc:Choice Requires="x14">
            <control shapeId="2077" r:id="rId9" name="Spinner 29">
              <controlPr defaultSize="0" autoPict="0">
                <anchor moveWithCells="1" sizeWithCells="1">
                  <from>
                    <xdr:col>9</xdr:col>
                    <xdr:colOff>0</xdr:colOff>
                    <xdr:row>276</xdr:row>
                    <xdr:rowOff>0</xdr:rowOff>
                  </from>
                  <to>
                    <xdr:col>10</xdr:col>
                    <xdr:colOff>0</xdr:colOff>
                    <xdr:row>278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showGridLines="0" showRowColHeaders="0" workbookViewId="0">
      <pane xSplit="1" topLeftCell="B1" activePane="topRight" state="frozenSplit"/>
      <selection pane="topRight"/>
    </sheetView>
  </sheetViews>
  <sheetFormatPr defaultRowHeight="11.25" outlineLevelRow="1" x14ac:dyDescent="0.2"/>
  <cols>
    <col min="1" max="1" width="32.5703125" style="28" bestFit="1" customWidth="1"/>
    <col min="2" max="2" width="16.7109375" style="28" customWidth="1"/>
    <col min="3" max="16384" width="9.140625" style="28"/>
  </cols>
  <sheetData>
    <row r="1" spans="1:14" x14ac:dyDescent="0.2">
      <c r="A1" s="71" t="s">
        <v>131</v>
      </c>
      <c r="M1" s="75" t="s">
        <v>148</v>
      </c>
      <c r="N1" s="75" t="s">
        <v>149</v>
      </c>
    </row>
    <row r="2" spans="1:14" x14ac:dyDescent="0.2">
      <c r="B2" s="75" t="s">
        <v>145</v>
      </c>
    </row>
    <row r="3" spans="1:14" x14ac:dyDescent="0.2">
      <c r="A3" s="73" t="s">
        <v>132</v>
      </c>
      <c r="B3" s="72" t="s">
        <v>7</v>
      </c>
    </row>
    <row r="4" spans="1:14" x14ac:dyDescent="0.2">
      <c r="A4" s="74" t="s">
        <v>133</v>
      </c>
      <c r="B4" s="76">
        <v>43700.565208333333</v>
      </c>
    </row>
    <row r="5" spans="1:14" x14ac:dyDescent="0.2">
      <c r="A5" s="74" t="s">
        <v>23</v>
      </c>
      <c r="B5" s="77">
        <v>100</v>
      </c>
    </row>
    <row r="6" spans="1:14" x14ac:dyDescent="0.2">
      <c r="A6" s="74" t="s">
        <v>22</v>
      </c>
      <c r="B6" s="28">
        <v>0.49</v>
      </c>
      <c r="C6" s="80"/>
    </row>
    <row r="7" spans="1:14" x14ac:dyDescent="0.2">
      <c r="A7" s="74" t="s">
        <v>134</v>
      </c>
      <c r="B7" s="78">
        <v>0.49989998999799951</v>
      </c>
      <c r="C7" s="80"/>
    </row>
    <row r="8" spans="1:14" x14ac:dyDescent="0.2">
      <c r="A8" s="74" t="s">
        <v>135</v>
      </c>
      <c r="B8" s="77">
        <v>1</v>
      </c>
      <c r="C8" s="80"/>
    </row>
    <row r="9" spans="1:14" x14ac:dyDescent="0.2">
      <c r="A9" s="74" t="s">
        <v>21</v>
      </c>
      <c r="B9" s="81">
        <v>0.37297661766221435</v>
      </c>
      <c r="C9" s="80"/>
    </row>
    <row r="10" spans="1:14" x14ac:dyDescent="0.2">
      <c r="A10" s="74" t="s">
        <v>46</v>
      </c>
      <c r="B10" s="81">
        <v>0.39706337257992685</v>
      </c>
      <c r="C10" s="80"/>
    </row>
    <row r="11" spans="1:14" x14ac:dyDescent="0.2">
      <c r="A11" s="74" t="s">
        <v>136</v>
      </c>
      <c r="B11" s="81">
        <v>0.36820114332786458</v>
      </c>
      <c r="C11" s="80"/>
    </row>
    <row r="12" spans="1:14" outlineLevel="1" x14ac:dyDescent="0.2">
      <c r="A12" s="74" t="s">
        <v>137</v>
      </c>
      <c r="B12" s="80"/>
      <c r="C12" s="80"/>
    </row>
    <row r="13" spans="1:14" outlineLevel="1" x14ac:dyDescent="0.2">
      <c r="A13" s="74" t="s">
        <v>45</v>
      </c>
      <c r="B13" s="28">
        <v>87.560645597324068</v>
      </c>
      <c r="C13" s="80"/>
    </row>
    <row r="14" spans="1:14" outlineLevel="1" x14ac:dyDescent="0.2">
      <c r="A14" s="74" t="s">
        <v>138</v>
      </c>
      <c r="B14" s="28">
        <v>0.88615446178471402</v>
      </c>
      <c r="C14" s="80"/>
    </row>
    <row r="15" spans="1:14" outlineLevel="1" x14ac:dyDescent="0.2">
      <c r="A15" s="74" t="s">
        <v>139</v>
      </c>
      <c r="B15" s="28">
        <v>0.5</v>
      </c>
      <c r="C15" s="80"/>
    </row>
    <row r="16" spans="1:14" outlineLevel="1" x14ac:dyDescent="0.2">
      <c r="A16" s="74" t="s">
        <v>140</v>
      </c>
      <c r="B16" s="79">
        <v>0.77</v>
      </c>
      <c r="C16" s="80"/>
    </row>
    <row r="17" spans="1:3" outlineLevel="1" x14ac:dyDescent="0.2">
      <c r="A17" s="74" t="s">
        <v>141</v>
      </c>
      <c r="B17" s="79">
        <v>0.73469387755102045</v>
      </c>
      <c r="C17" s="80"/>
    </row>
    <row r="18" spans="1:3" outlineLevel="1" x14ac:dyDescent="0.2">
      <c r="A18" s="74" t="s">
        <v>142</v>
      </c>
      <c r="B18" s="79">
        <v>0.8039215686274509</v>
      </c>
      <c r="C18" s="80"/>
    </row>
    <row r="19" spans="1:3" outlineLevel="1" x14ac:dyDescent="0.2">
      <c r="A19" s="74" t="s">
        <v>143</v>
      </c>
      <c r="B19" s="28" t="s">
        <v>2</v>
      </c>
      <c r="C19" s="80"/>
    </row>
    <row r="20" spans="1:3" outlineLevel="1" x14ac:dyDescent="0.2">
      <c r="A20" s="74" t="s">
        <v>140</v>
      </c>
      <c r="B20" s="79">
        <v>0.63</v>
      </c>
      <c r="C20" s="80"/>
    </row>
    <row r="21" spans="1:3" outlineLevel="1" x14ac:dyDescent="0.2">
      <c r="A21" s="74" t="s">
        <v>141</v>
      </c>
      <c r="B21" s="79">
        <v>0.6470588235294118</v>
      </c>
      <c r="C21" s="80"/>
    </row>
    <row r="22" spans="1:3" outlineLevel="1" x14ac:dyDescent="0.2">
      <c r="A22" s="74" t="s">
        <v>142</v>
      </c>
      <c r="B22" s="79">
        <v>0.61224489795918369</v>
      </c>
      <c r="C22" s="80"/>
    </row>
    <row r="24" spans="1:3" x14ac:dyDescent="0.2">
      <c r="A24" s="74" t="s">
        <v>144</v>
      </c>
      <c r="B24" s="28" t="s">
        <v>7</v>
      </c>
      <c r="C24" s="80"/>
    </row>
    <row r="25" spans="1:3" x14ac:dyDescent="0.2">
      <c r="A25" s="74" t="s">
        <v>35</v>
      </c>
      <c r="B25" s="81" t="s">
        <v>146</v>
      </c>
      <c r="C25" s="80"/>
    </row>
    <row r="26" spans="1:3" x14ac:dyDescent="0.2">
      <c r="A26" s="74" t="s">
        <v>3</v>
      </c>
      <c r="B26" s="81" t="s">
        <v>147</v>
      </c>
      <c r="C26" s="8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Data</vt:lpstr>
      <vt:lpstr>Model 1</vt:lpstr>
      <vt:lpstr>Model Summaries</vt:lpstr>
      <vt:lpstr>X_1</vt:lpstr>
      <vt:lpstr>X_2</vt:lpstr>
      <vt:lpstr>X_3</vt:lpstr>
      <vt:lpstr>Y</vt:lpstr>
      <vt:lpstr>Y_200</vt:lpstr>
      <vt:lpstr>Ytest</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FacDS - Bob Nau</dc:creator>
  <cp:lastModifiedBy>FacDS - Bob Nau</cp:lastModifiedBy>
  <dcterms:created xsi:type="dcterms:W3CDTF">2019-08-23T17:31:42Z</dcterms:created>
  <dcterms:modified xsi:type="dcterms:W3CDTF">2022-12-07T19:29:56Z</dcterms:modified>
</cp:coreProperties>
</file>