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31470" windowHeight="20205" activeTab="1"/>
  </bookViews>
  <sheets>
    <sheet name="Data" sheetId="1" r:id="rId1"/>
    <sheet name="Linear price-demand model" sheetId="3" r:id="rId2"/>
    <sheet name="Log-log price-demand model" sheetId="13" r:id="rId3"/>
    <sheet name="Model Summaries" sheetId="11" r:id="rId4"/>
  </sheets>
  <definedNames>
    <definedName name="___autoF" localSheetId="1" hidden="1">1</definedName>
    <definedName name="___autoF" localSheetId="2" hidden="1">1</definedName>
    <definedName name="___rsumm___CASES_18PK" localSheetId="3" hidden="1">'Model Summaries'!$A$3</definedName>
    <definedName name="___rsumm___CASES_18PK_LN" localSheetId="3" hidden="1">'Model Summaries'!$A$20</definedName>
    <definedName name="__nSelect_" hidden="1">0</definedName>
    <definedName name="ActiveRegModel" hidden="1">"Log-log price-demand model"</definedName>
    <definedName name="CASES_12PK">Data!$H$2:$H$53</definedName>
    <definedName name="CASES_12PK_LN">Data!$I$2:$I$53</definedName>
    <definedName name="CASES_18PK">Data!$J$2:$J$53</definedName>
    <definedName name="CASES_18PK_LN">Data!$K$2:$K$53</definedName>
    <definedName name="CASES_30PK">Data!$L$2:$L$53</definedName>
    <definedName name="CASES_30PK_LN">Data!$M$2:$M$53</definedName>
    <definedName name="FirstForecastRow" localSheetId="1" hidden="1">52</definedName>
    <definedName name="FirstForecastRow" localSheetId="2" hidden="1">52</definedName>
    <definedName name="nRegMod" hidden="1">2</definedName>
    <definedName name="OKtoForecast" hidden="1">1</definedName>
    <definedName name="PRICE_12PK">Data!$B$2:$B$53</definedName>
    <definedName name="PRICE_12PK_LN">Data!$C$2:$C$53</definedName>
    <definedName name="PRICE_18PK">Data!$D$2:$D$53</definedName>
    <definedName name="PRICE_18PK_LN">Data!$E$2:$E$53</definedName>
    <definedName name="PRICE_30PK">Data!$F$2:$F$53</definedName>
    <definedName name="PRICE_30PK_LN">Data!$G$2:$G$53</definedName>
    <definedName name="_xlnm.Print_Area" localSheetId="1">'Linear price-demand model'!$A$1:$J$242</definedName>
    <definedName name="_xlnm.Print_Area" localSheetId="2">'Log-log price-demand model'!$A$1:$J$242</definedName>
    <definedName name="Week">Data!$A$2:$A$53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13" l="1"/>
  <c r="I54" i="13"/>
  <c r="I55" i="13"/>
  <c r="F55" i="13" s="1"/>
  <c r="I56" i="13"/>
  <c r="F56" i="13" s="1"/>
  <c r="I57" i="13"/>
  <c r="I58" i="13"/>
  <c r="F58" i="13" s="1"/>
  <c r="I59" i="13"/>
  <c r="F59" i="13" s="1"/>
  <c r="I60" i="13"/>
  <c r="F60" i="13" s="1"/>
  <c r="I61" i="13"/>
  <c r="I62" i="13"/>
  <c r="I63" i="13"/>
  <c r="I64" i="13"/>
  <c r="F64" i="13" s="1"/>
  <c r="I65" i="13"/>
  <c r="I66" i="13"/>
  <c r="I52" i="13"/>
  <c r="O53" i="13"/>
  <c r="O54" i="13"/>
  <c r="O55" i="13"/>
  <c r="O56" i="13"/>
  <c r="O57" i="13"/>
  <c r="O58" i="13"/>
  <c r="O59" i="13"/>
  <c r="O60" i="13"/>
  <c r="O61" i="13"/>
  <c r="O62" i="13"/>
  <c r="O63" i="13"/>
  <c r="O64" i="13"/>
  <c r="O65" i="13"/>
  <c r="O66" i="13"/>
  <c r="O52" i="13"/>
  <c r="Q51" i="13"/>
  <c r="P51" i="13"/>
  <c r="F66" i="13"/>
  <c r="C66" i="13" s="1"/>
  <c r="F65" i="13"/>
  <c r="C65" i="13" s="1"/>
  <c r="F63" i="13"/>
  <c r="F62" i="13"/>
  <c r="C62" i="13" s="1"/>
  <c r="F61" i="13"/>
  <c r="F57" i="13"/>
  <c r="C57" i="13"/>
  <c r="F54" i="13"/>
  <c r="C54" i="13"/>
  <c r="F53" i="13"/>
  <c r="C53" i="13" s="1"/>
  <c r="D206" i="13"/>
  <c r="E206" i="13" s="1"/>
  <c r="D237" i="13"/>
  <c r="E237" i="13" s="1"/>
  <c r="D215" i="13"/>
  <c r="E215" i="13" s="1"/>
  <c r="D235" i="13"/>
  <c r="E235" i="13"/>
  <c r="D232" i="13"/>
  <c r="E232" i="13" s="1"/>
  <c r="D207" i="13"/>
  <c r="E207" i="13" s="1"/>
  <c r="D216" i="13"/>
  <c r="E216" i="13" s="1"/>
  <c r="D227" i="13"/>
  <c r="E227" i="13" s="1"/>
  <c r="D238" i="13"/>
  <c r="E238" i="13" s="1"/>
  <c r="D225" i="13"/>
  <c r="E225" i="13" s="1"/>
  <c r="D223" i="13"/>
  <c r="E223" i="13" s="1"/>
  <c r="D221" i="13"/>
  <c r="E221" i="13" s="1"/>
  <c r="D231" i="13"/>
  <c r="E231" i="13" s="1"/>
  <c r="D241" i="13"/>
  <c r="E241" i="13" s="1"/>
  <c r="D197" i="13"/>
  <c r="E197" i="13" s="1"/>
  <c r="D230" i="13"/>
  <c r="E230" i="13"/>
  <c r="D190" i="13"/>
  <c r="E190" i="13" s="1"/>
  <c r="D233" i="13"/>
  <c r="E233" i="13" s="1"/>
  <c r="D210" i="13"/>
  <c r="E210" i="13" s="1"/>
  <c r="D228" i="13"/>
  <c r="E228" i="13"/>
  <c r="D218" i="13"/>
  <c r="E218" i="13" s="1"/>
  <c r="D200" i="13"/>
  <c r="E200" i="13" s="1"/>
  <c r="D209" i="13"/>
  <c r="E209" i="13" s="1"/>
  <c r="D217" i="13"/>
  <c r="E217" i="13" s="1"/>
  <c r="D214" i="13"/>
  <c r="E214" i="13" s="1"/>
  <c r="D194" i="13"/>
  <c r="E194" i="13"/>
  <c r="D234" i="13"/>
  <c r="E234" i="13" s="1"/>
  <c r="D203" i="13"/>
  <c r="E203" i="13" s="1"/>
  <c r="D222" i="13"/>
  <c r="E222" i="13" s="1"/>
  <c r="D224" i="13"/>
  <c r="E224" i="13" s="1"/>
  <c r="D208" i="13"/>
  <c r="E208" i="13" s="1"/>
  <c r="D198" i="13"/>
  <c r="E198" i="13" s="1"/>
  <c r="D202" i="13"/>
  <c r="E202" i="13" s="1"/>
  <c r="D219" i="13"/>
  <c r="E219" i="13" s="1"/>
  <c r="D236" i="13"/>
  <c r="E236" i="13" s="1"/>
  <c r="D226" i="13"/>
  <c r="E226" i="13"/>
  <c r="D204" i="13"/>
  <c r="E204" i="13" s="1"/>
  <c r="D196" i="13"/>
  <c r="E196" i="13" s="1"/>
  <c r="D199" i="13"/>
  <c r="E199" i="13" s="1"/>
  <c r="D192" i="13"/>
  <c r="E192" i="13" s="1"/>
  <c r="D201" i="13"/>
  <c r="E201" i="13" s="1"/>
  <c r="D229" i="13"/>
  <c r="E229" i="13" s="1"/>
  <c r="D193" i="13"/>
  <c r="E193" i="13" s="1"/>
  <c r="D213" i="13"/>
  <c r="E213" i="13" s="1"/>
  <c r="D205" i="13"/>
  <c r="E205" i="13" s="1"/>
  <c r="D239" i="13"/>
  <c r="E239" i="13" s="1"/>
  <c r="D220" i="13"/>
  <c r="E220" i="13" s="1"/>
  <c r="D191" i="13"/>
  <c r="E191" i="13"/>
  <c r="D212" i="13"/>
  <c r="E212" i="13" s="1"/>
  <c r="D211" i="13"/>
  <c r="E211" i="13" s="1"/>
  <c r="D195" i="13"/>
  <c r="E195" i="13" s="1"/>
  <c r="D240" i="13"/>
  <c r="E240" i="13" s="1"/>
  <c r="AA3" i="13"/>
  <c r="AA2" i="13"/>
  <c r="H51" i="13"/>
  <c r="G51" i="13"/>
  <c r="E51" i="13"/>
  <c r="D51" i="13"/>
  <c r="E30" i="13"/>
  <c r="E29" i="13"/>
  <c r="E28" i="13"/>
  <c r="E27" i="13"/>
  <c r="E26" i="13"/>
  <c r="G25" i="13"/>
  <c r="F25" i="13"/>
  <c r="B10" i="13"/>
  <c r="D20" i="13"/>
  <c r="D10" i="13" s="1"/>
  <c r="C19" i="13"/>
  <c r="D19" i="13" s="1"/>
  <c r="E19" i="13" s="1"/>
  <c r="F19" i="13" s="1"/>
  <c r="B21" i="13"/>
  <c r="I15" i="13"/>
  <c r="D15" i="13"/>
  <c r="E15" i="13" s="1"/>
  <c r="F15" i="13"/>
  <c r="G15" i="13"/>
  <c r="D14" i="13"/>
  <c r="E14" i="13" s="1"/>
  <c r="G14" i="13"/>
  <c r="F14" i="13"/>
  <c r="G13" i="13"/>
  <c r="F13" i="13"/>
  <c r="H10" i="13"/>
  <c r="G66" i="13" s="1"/>
  <c r="H9" i="13"/>
  <c r="O53" i="3"/>
  <c r="O54" i="3"/>
  <c r="O55" i="3"/>
  <c r="O56" i="3"/>
  <c r="O57" i="3"/>
  <c r="O58" i="3"/>
  <c r="O59" i="3"/>
  <c r="O60" i="3"/>
  <c r="O61" i="3"/>
  <c r="O62" i="3"/>
  <c r="O63" i="3"/>
  <c r="O64" i="3"/>
  <c r="O65" i="3"/>
  <c r="O66" i="3"/>
  <c r="O52" i="3"/>
  <c r="N53" i="3"/>
  <c r="N54" i="3"/>
  <c r="N55" i="3"/>
  <c r="N56" i="3"/>
  <c r="N57" i="3"/>
  <c r="N58" i="3"/>
  <c r="N59" i="3"/>
  <c r="N60" i="3"/>
  <c r="N61" i="3"/>
  <c r="N62" i="3"/>
  <c r="N63" i="3"/>
  <c r="N64" i="3"/>
  <c r="N65" i="3"/>
  <c r="N66" i="3"/>
  <c r="N52" i="3"/>
  <c r="Q51" i="3"/>
  <c r="P51" i="3"/>
  <c r="F66" i="3"/>
  <c r="H66" i="3" s="1"/>
  <c r="F65" i="3"/>
  <c r="C65" i="3" s="1"/>
  <c r="E65" i="3" s="1"/>
  <c r="Q65" i="3" s="1"/>
  <c r="F64" i="3"/>
  <c r="C64" i="3" s="1"/>
  <c r="E64" i="3" s="1"/>
  <c r="Q64" i="3" s="1"/>
  <c r="F63" i="3"/>
  <c r="C63" i="3" s="1"/>
  <c r="E63" i="3" s="1"/>
  <c r="Q63" i="3" s="1"/>
  <c r="F62" i="3"/>
  <c r="C62" i="3" s="1"/>
  <c r="E62" i="3" s="1"/>
  <c r="Q62" i="3" s="1"/>
  <c r="F61" i="3"/>
  <c r="H61" i="3" s="1"/>
  <c r="F60" i="3"/>
  <c r="C60" i="3" s="1"/>
  <c r="E60" i="3" s="1"/>
  <c r="Q60" i="3" s="1"/>
  <c r="F59" i="3"/>
  <c r="C59" i="3" s="1"/>
  <c r="CG59" i="3" s="1"/>
  <c r="F58" i="3"/>
  <c r="H58" i="3" s="1"/>
  <c r="F57" i="3"/>
  <c r="C57" i="3" s="1"/>
  <c r="CG57" i="3" s="1"/>
  <c r="F56" i="3"/>
  <c r="C56" i="3" s="1"/>
  <c r="CG56" i="3" s="1"/>
  <c r="E55" i="3"/>
  <c r="Q55" i="3" s="1"/>
  <c r="F55" i="3"/>
  <c r="C55" i="3" s="1"/>
  <c r="CG55" i="3" s="1"/>
  <c r="F54" i="3"/>
  <c r="C54" i="3" s="1"/>
  <c r="E54" i="3" s="1"/>
  <c r="Q54" i="3" s="1"/>
  <c r="F53" i="3"/>
  <c r="C53" i="3" s="1"/>
  <c r="CG53" i="3" s="1"/>
  <c r="F52" i="3"/>
  <c r="C52" i="3" s="1"/>
  <c r="CG52" i="3" s="1"/>
  <c r="D224" i="3"/>
  <c r="E224" i="3" s="1"/>
  <c r="D237" i="3"/>
  <c r="E237" i="3"/>
  <c r="D221" i="3"/>
  <c r="E221" i="3" s="1"/>
  <c r="D232" i="3"/>
  <c r="E232" i="3" s="1"/>
  <c r="D239" i="3"/>
  <c r="E239" i="3" s="1"/>
  <c r="D218" i="3"/>
  <c r="E218" i="3" s="1"/>
  <c r="D229" i="3"/>
  <c r="E229" i="3" s="1"/>
  <c r="D235" i="3"/>
  <c r="E235" i="3" s="1"/>
  <c r="D240" i="3"/>
  <c r="E240" i="3" s="1"/>
  <c r="D233" i="3"/>
  <c r="E233" i="3" s="1"/>
  <c r="D231" i="3"/>
  <c r="E231" i="3" s="1"/>
  <c r="D201" i="3"/>
  <c r="E201" i="3"/>
  <c r="D202" i="3"/>
  <c r="E202" i="3" s="1"/>
  <c r="D241" i="3"/>
  <c r="E241" i="3" s="1"/>
  <c r="D220" i="3"/>
  <c r="E220" i="3" s="1"/>
  <c r="D205" i="3"/>
  <c r="E205" i="3"/>
  <c r="D191" i="3"/>
  <c r="E191" i="3" s="1"/>
  <c r="D238" i="3"/>
  <c r="E238" i="3" s="1"/>
  <c r="D225" i="3"/>
  <c r="E225" i="3" s="1"/>
  <c r="D236" i="3"/>
  <c r="E236" i="3"/>
  <c r="D228" i="3"/>
  <c r="E228" i="3" s="1"/>
  <c r="D219" i="3"/>
  <c r="E219" i="3" s="1"/>
  <c r="D223" i="3"/>
  <c r="E223" i="3" s="1"/>
  <c r="D227" i="3"/>
  <c r="E227" i="3" s="1"/>
  <c r="D226" i="3"/>
  <c r="E226" i="3" s="1"/>
  <c r="D214" i="3"/>
  <c r="E214" i="3"/>
  <c r="D230" i="3"/>
  <c r="E230" i="3" s="1"/>
  <c r="D190" i="3"/>
  <c r="E190" i="3"/>
  <c r="D211" i="3"/>
  <c r="E211" i="3" s="1"/>
  <c r="D215" i="3"/>
  <c r="E215" i="3" s="1"/>
  <c r="D197" i="3"/>
  <c r="E197" i="3" s="1"/>
  <c r="D198" i="3"/>
  <c r="E198" i="3" s="1"/>
  <c r="D222" i="3"/>
  <c r="E222" i="3" s="1"/>
  <c r="D212" i="3"/>
  <c r="E212" i="3" s="1"/>
  <c r="D216" i="3"/>
  <c r="E216" i="3" s="1"/>
  <c r="D200" i="3"/>
  <c r="E200" i="3" s="1"/>
  <c r="D204" i="3"/>
  <c r="E204" i="3" s="1"/>
  <c r="D210" i="3"/>
  <c r="E210" i="3" s="1"/>
  <c r="D193" i="3"/>
  <c r="E193" i="3" s="1"/>
  <c r="D194" i="3"/>
  <c r="E194" i="3" s="1"/>
  <c r="D217" i="3"/>
  <c r="E217" i="3"/>
  <c r="D206" i="3"/>
  <c r="E206" i="3" s="1"/>
  <c r="D196" i="3"/>
  <c r="E196" i="3"/>
  <c r="D213" i="3"/>
  <c r="E213" i="3" s="1"/>
  <c r="D208" i="3"/>
  <c r="E208" i="3" s="1"/>
  <c r="D234" i="3"/>
  <c r="E234" i="3" s="1"/>
  <c r="D199" i="3"/>
  <c r="E199" i="3" s="1"/>
  <c r="D195" i="3"/>
  <c r="E195" i="3" s="1"/>
  <c r="D207" i="3"/>
  <c r="E207" i="3" s="1"/>
  <c r="D203" i="3"/>
  <c r="E203" i="3"/>
  <c r="D192" i="3"/>
  <c r="E192" i="3" s="1"/>
  <c r="D209" i="3"/>
  <c r="E209" i="3" s="1"/>
  <c r="AA3" i="3"/>
  <c r="AA2" i="3"/>
  <c r="H51" i="3"/>
  <c r="G51" i="3"/>
  <c r="E51" i="3"/>
  <c r="D51" i="3"/>
  <c r="E30" i="3"/>
  <c r="E29" i="3"/>
  <c r="E28" i="3"/>
  <c r="E27" i="3"/>
  <c r="E26" i="3"/>
  <c r="G25" i="3"/>
  <c r="F25" i="3"/>
  <c r="B10" i="3"/>
  <c r="D20" i="3"/>
  <c r="D10" i="3" s="1"/>
  <c r="C19" i="3"/>
  <c r="D19" i="3" s="1"/>
  <c r="E19" i="3" s="1"/>
  <c r="F19" i="3" s="1"/>
  <c r="B21" i="3"/>
  <c r="I15" i="3"/>
  <c r="D15" i="3"/>
  <c r="E15" i="3"/>
  <c r="F15" i="3"/>
  <c r="G15" i="3"/>
  <c r="D14" i="3"/>
  <c r="E14" i="3" s="1"/>
  <c r="G14" i="3"/>
  <c r="F14" i="3"/>
  <c r="G13" i="3"/>
  <c r="F13" i="3"/>
  <c r="H10" i="3"/>
  <c r="H9" i="3"/>
  <c r="D59" i="3" l="1"/>
  <c r="P59" i="3" s="1"/>
  <c r="C58" i="3"/>
  <c r="CG58" i="3" s="1"/>
  <c r="G59" i="3"/>
  <c r="E53" i="3"/>
  <c r="Q53" i="3" s="1"/>
  <c r="E59" i="3"/>
  <c r="Q59" i="3" s="1"/>
  <c r="D60" i="3"/>
  <c r="P60" i="3" s="1"/>
  <c r="C66" i="3"/>
  <c r="E66" i="3" s="1"/>
  <c r="Q66" i="3" s="1"/>
  <c r="G58" i="3"/>
  <c r="G60" i="3"/>
  <c r="E57" i="3"/>
  <c r="Q57" i="3" s="1"/>
  <c r="CG60" i="3"/>
  <c r="G66" i="3"/>
  <c r="E52" i="3"/>
  <c r="Q52" i="3" s="1"/>
  <c r="H55" i="3"/>
  <c r="E56" i="3"/>
  <c r="Q56" i="3" s="1"/>
  <c r="D58" i="3"/>
  <c r="P58" i="3" s="1"/>
  <c r="G52" i="3"/>
  <c r="D53" i="3"/>
  <c r="P53" i="3" s="1"/>
  <c r="G54" i="3"/>
  <c r="D55" i="3"/>
  <c r="P55" i="3" s="1"/>
  <c r="G56" i="3"/>
  <c r="D57" i="3"/>
  <c r="P57" i="3" s="1"/>
  <c r="E58" i="3"/>
  <c r="Q58" i="3" s="1"/>
  <c r="H59" i="3"/>
  <c r="C61" i="3"/>
  <c r="G61" i="3"/>
  <c r="D62" i="3"/>
  <c r="P62" i="3" s="1"/>
  <c r="CG62" i="3"/>
  <c r="G63" i="3"/>
  <c r="D64" i="3"/>
  <c r="P64" i="3" s="1"/>
  <c r="CG64" i="3"/>
  <c r="G65" i="3"/>
  <c r="H54" i="3"/>
  <c r="H56" i="3"/>
  <c r="H63" i="3"/>
  <c r="H65" i="3"/>
  <c r="H52" i="3"/>
  <c r="D52" i="3"/>
  <c r="P52" i="3" s="1"/>
  <c r="G53" i="3"/>
  <c r="D54" i="3"/>
  <c r="P54" i="3" s="1"/>
  <c r="CG54" i="3"/>
  <c r="G55" i="3"/>
  <c r="D56" i="3"/>
  <c r="P56" i="3" s="1"/>
  <c r="G57" i="3"/>
  <c r="H60" i="3"/>
  <c r="G62" i="3"/>
  <c r="D63" i="3"/>
  <c r="P63" i="3" s="1"/>
  <c r="CG63" i="3"/>
  <c r="G64" i="3"/>
  <c r="D65" i="3"/>
  <c r="P65" i="3" s="1"/>
  <c r="CG65" i="3"/>
  <c r="H53" i="3"/>
  <c r="H57" i="3"/>
  <c r="H62" i="3"/>
  <c r="H64" i="3"/>
  <c r="H57" i="13"/>
  <c r="E62" i="13"/>
  <c r="Q62" i="13" s="1"/>
  <c r="H65" i="13"/>
  <c r="H60" i="13"/>
  <c r="CG53" i="13"/>
  <c r="H54" i="13"/>
  <c r="G57" i="13"/>
  <c r="G62" i="13"/>
  <c r="CG66" i="13"/>
  <c r="E53" i="13"/>
  <c r="Q53" i="13" s="1"/>
  <c r="G54" i="13"/>
  <c r="E66" i="13"/>
  <c r="Q66" i="13" s="1"/>
  <c r="G53" i="13"/>
  <c r="CG62" i="13"/>
  <c r="E65" i="13"/>
  <c r="Q65" i="13" s="1"/>
  <c r="E57" i="13"/>
  <c r="Q57" i="13" s="1"/>
  <c r="CG57" i="13"/>
  <c r="D57" i="13"/>
  <c r="P57" i="13" s="1"/>
  <c r="G61" i="13"/>
  <c r="C61" i="13"/>
  <c r="C64" i="13"/>
  <c r="H64" i="13"/>
  <c r="G64" i="13"/>
  <c r="H56" i="13"/>
  <c r="G56" i="13"/>
  <c r="C56" i="13"/>
  <c r="H61" i="13"/>
  <c r="C63" i="13"/>
  <c r="G63" i="13"/>
  <c r="H63" i="13"/>
  <c r="H59" i="13"/>
  <c r="C59" i="13"/>
  <c r="G59" i="13"/>
  <c r="C55" i="13"/>
  <c r="H55" i="13"/>
  <c r="G55" i="13"/>
  <c r="E54" i="13"/>
  <c r="Q54" i="13" s="1"/>
  <c r="CG54" i="13"/>
  <c r="D54" i="13"/>
  <c r="P54" i="13" s="1"/>
  <c r="C60" i="13"/>
  <c r="C58" i="13"/>
  <c r="H58" i="13"/>
  <c r="G58" i="13"/>
  <c r="G60" i="13"/>
  <c r="D65" i="13"/>
  <c r="P65" i="13" s="1"/>
  <c r="CG65" i="13"/>
  <c r="H53" i="13"/>
  <c r="H62" i="13"/>
  <c r="H66" i="13"/>
  <c r="D53" i="13"/>
  <c r="P53" i="13" s="1"/>
  <c r="D62" i="13"/>
  <c r="P62" i="13" s="1"/>
  <c r="G65" i="13"/>
  <c r="D66" i="13"/>
  <c r="P66" i="13" s="1"/>
  <c r="C27" i="13"/>
  <c r="D26" i="13"/>
  <c r="G26" i="13" s="1"/>
  <c r="C30" i="13"/>
  <c r="D30" i="13" s="1"/>
  <c r="F30" i="13" s="1"/>
  <c r="C26" i="13"/>
  <c r="C10" i="13"/>
  <c r="C29" i="13"/>
  <c r="D29" i="13" s="1"/>
  <c r="C28" i="13"/>
  <c r="D28" i="13" s="1"/>
  <c r="D27" i="13"/>
  <c r="F27" i="13" s="1"/>
  <c r="C29" i="3"/>
  <c r="C28" i="3"/>
  <c r="D28" i="3" s="1"/>
  <c r="D27" i="3"/>
  <c r="F27" i="3" s="1"/>
  <c r="C27" i="3"/>
  <c r="C30" i="3"/>
  <c r="D30" i="3" s="1"/>
  <c r="F30" i="3" s="1"/>
  <c r="D29" i="3"/>
  <c r="G29" i="3" s="1"/>
  <c r="C26" i="3"/>
  <c r="D26" i="3" s="1"/>
  <c r="C10" i="3"/>
  <c r="G27" i="3"/>
  <c r="CG66" i="3" l="1"/>
  <c r="D66" i="3"/>
  <c r="P66" i="3" s="1"/>
  <c r="CG61" i="3"/>
  <c r="D61" i="3"/>
  <c r="P61" i="3" s="1"/>
  <c r="E61" i="3"/>
  <c r="Q61" i="3" s="1"/>
  <c r="E55" i="13"/>
  <c r="Q55" i="13" s="1"/>
  <c r="CG55" i="13"/>
  <c r="D55" i="13"/>
  <c r="P55" i="13" s="1"/>
  <c r="CG56" i="13"/>
  <c r="D56" i="13"/>
  <c r="P56" i="13" s="1"/>
  <c r="E56" i="13"/>
  <c r="Q56" i="13" s="1"/>
  <c r="E58" i="13"/>
  <c r="Q58" i="13" s="1"/>
  <c r="D58" i="13"/>
  <c r="P58" i="13" s="1"/>
  <c r="CG58" i="13"/>
  <c r="CG64" i="13"/>
  <c r="D64" i="13"/>
  <c r="P64" i="13" s="1"/>
  <c r="E64" i="13"/>
  <c r="Q64" i="13" s="1"/>
  <c r="E60" i="13"/>
  <c r="Q60" i="13" s="1"/>
  <c r="CG60" i="13"/>
  <c r="D60" i="13"/>
  <c r="P60" i="13" s="1"/>
  <c r="CG59" i="13"/>
  <c r="D59" i="13"/>
  <c r="P59" i="13" s="1"/>
  <c r="E59" i="13"/>
  <c r="Q59" i="13" s="1"/>
  <c r="E63" i="13"/>
  <c r="Q63" i="13" s="1"/>
  <c r="CG63" i="13"/>
  <c r="D63" i="13"/>
  <c r="P63" i="13" s="1"/>
  <c r="E61" i="13"/>
  <c r="Q61" i="13" s="1"/>
  <c r="CG61" i="13"/>
  <c r="D61" i="13"/>
  <c r="P61" i="13" s="1"/>
  <c r="F29" i="13"/>
  <c r="G29" i="13"/>
  <c r="F28" i="13"/>
  <c r="G28" i="13"/>
  <c r="G27" i="13"/>
  <c r="F26" i="13"/>
  <c r="G30" i="13"/>
  <c r="F26" i="3"/>
  <c r="G26" i="3"/>
  <c r="G28" i="3"/>
  <c r="F28" i="3"/>
  <c r="G30" i="3"/>
  <c r="F29" i="3"/>
  <c r="F52" i="13" l="1"/>
  <c r="H52" i="13" s="1"/>
  <c r="C52" i="13" l="1"/>
  <c r="G52" i="13"/>
  <c r="CG52" i="13" l="1"/>
  <c r="E52" i="13"/>
  <c r="Q52" i="13" s="1"/>
  <c r="D52" i="13"/>
  <c r="P52" i="13" s="1"/>
</calcChain>
</file>

<file path=xl/comments1.xml><?xml version="1.0" encoding="utf-8"?>
<comments xmlns="http://schemas.openxmlformats.org/spreadsheetml/2006/main">
  <authors>
    <author>Bob Nau</author>
  </authors>
  <commentList>
    <comment ref="B5" authorId="0">
      <text>
        <r>
          <rPr>
            <sz val="9"/>
            <color indexed="81"/>
            <rFont val="Tahoma"/>
            <family val="2"/>
          </rPr>
          <t>00h:00m:02s</t>
        </r>
      </text>
    </comment>
    <comment ref="B22" authorId="0">
      <text>
        <r>
          <rPr>
            <sz val="9"/>
            <color indexed="81"/>
            <rFont val="Tahoma"/>
            <family val="2"/>
          </rPr>
          <t>00h:00m:02s</t>
        </r>
      </text>
    </comment>
  </commentList>
</comments>
</file>

<file path=xl/sharedStrings.xml><?xml version="1.0" encoding="utf-8"?>
<sst xmlns="http://schemas.openxmlformats.org/spreadsheetml/2006/main" count="202" uniqueCount="103">
  <si>
    <t>Week</t>
  </si>
  <si>
    <t>PRICE 12PK</t>
  </si>
  <si>
    <t>PRICE 18PK</t>
  </si>
  <si>
    <t>PRICE 30PK</t>
  </si>
  <si>
    <t>CASES 12PK</t>
  </si>
  <si>
    <t>CASES 18PK</t>
  </si>
  <si>
    <t>CASES 30PK</t>
  </si>
  <si>
    <t>Model:</t>
  </si>
  <si>
    <t>Linear price-demand model</t>
  </si>
  <si>
    <t>May 29, 2015  11:08 AM  RegressIt 2.2.2  Linear price-demand model</t>
  </si>
  <si>
    <t>Dependent Variable:</t>
  </si>
  <si>
    <t>CASES_18PK</t>
  </si>
  <si>
    <t>Independent Variables:</t>
  </si>
  <si>
    <t>PRICE_18PK</t>
  </si>
  <si>
    <t>Equation:</t>
  </si>
  <si>
    <t>Predicted CASES_18PK = 1,812 - 93.007*PRICE_18PK</t>
  </si>
  <si>
    <t>Regression Statistics:    Linear price-demand model for CASES_18PK    (1 variable, n=52)</t>
  </si>
  <si>
    <t>R-Squared</t>
  </si>
  <si>
    <t>Adj.R-Sqr.</t>
  </si>
  <si>
    <t>Std.Err.Reg.</t>
  </si>
  <si>
    <t>Std. Dev.</t>
  </si>
  <si>
    <t># Cases</t>
  </si>
  <si>
    <t># Missing</t>
  </si>
  <si>
    <t>Conf. level</t>
  </si>
  <si>
    <t>Coefficient Estimates:    Linear price-demand model for CASES_18PK    (1 variable, n=52)</t>
  </si>
  <si>
    <t>Variable</t>
  </si>
  <si>
    <t>Coefficient</t>
  </si>
  <si>
    <t>Std.Err.</t>
  </si>
  <si>
    <t>t-Stat.</t>
  </si>
  <si>
    <t>P-value</t>
  </si>
  <si>
    <t>Std. Coeff.</t>
  </si>
  <si>
    <t>Constant</t>
  </si>
  <si>
    <t>Analysis of Variance:    Linear price-demand model for CASES_18PK    (1 variable, n=52)</t>
  </si>
  <si>
    <t>Source</t>
  </si>
  <si>
    <t>Regression</t>
  </si>
  <si>
    <t>Residual</t>
  </si>
  <si>
    <t>Total</t>
  </si>
  <si>
    <t>df</t>
  </si>
  <si>
    <t>Sum Sqrs.</t>
  </si>
  <si>
    <t>Mean Sqr.</t>
  </si>
  <si>
    <t>F</t>
  </si>
  <si>
    <t>Line Fit Plot</t>
  </si>
  <si>
    <t>StdErrMean</t>
  </si>
  <si>
    <t>StdErrFcst</t>
  </si>
  <si>
    <t>Predicted</t>
  </si>
  <si>
    <t>Residual Distribution Statistics:    Linear price-demand model for CASES_18PK    (1 variable, n=52)</t>
  </si>
  <si>
    <t>#Res.&gt;0</t>
  </si>
  <si>
    <t>#Res.&lt;=0</t>
  </si>
  <si>
    <t>A-D* Stat.</t>
  </si>
  <si>
    <t>See the residual histogram, normal quantile plot and residual table for more details of the error distribution.</t>
  </si>
  <si>
    <t>MinStdRes</t>
  </si>
  <si>
    <t>MaxStdRes</t>
  </si>
  <si>
    <t>Forecasts:  Linear price-demand model for CASES_18PK    (1 variable, n=52)</t>
  </si>
  <si>
    <t>Obs#</t>
  </si>
  <si>
    <t>Forecast</t>
  </si>
  <si>
    <t>StErrFcst</t>
  </si>
  <si>
    <t>StErrMean</t>
  </si>
  <si>
    <t xml:space="preserve">   PRICE_18PK</t>
  </si>
  <si>
    <t>Actual and predicted -vs- Observation #</t>
  </si>
  <si>
    <t>Residual -vs- Observation #</t>
  </si>
  <si>
    <t>Residual -vs- Predicted</t>
  </si>
  <si>
    <t>Histogram of Residuals</t>
  </si>
  <si>
    <t>Normal Quantile Plot</t>
  </si>
  <si>
    <t>Residuals sorted from largest to smallest by absolute value: Linear price-demand model for CASES_18PK    (1 variable, n=52)</t>
  </si>
  <si>
    <t>Actual</t>
  </si>
  <si>
    <t>Std.Res.</t>
  </si>
  <si>
    <t>Summary of Regression Model Results</t>
  </si>
  <si>
    <t>Dependent Variable: CASES_18PK</t>
  </si>
  <si>
    <t>Model</t>
  </si>
  <si>
    <t>Run Time</t>
  </si>
  <si>
    <t>Regression Statistics</t>
  </si>
  <si>
    <t>R-squared</t>
  </si>
  <si>
    <t>Adjusted R-squared</t>
  </si>
  <si>
    <t>Standard Error of Regression</t>
  </si>
  <si>
    <t>Coefficient estimates and P-values</t>
  </si>
  <si>
    <t>CASES_12PK</t>
  </si>
  <si>
    <t>CASES_30PK</t>
  </si>
  <si>
    <t>PRICE_12PK</t>
  </si>
  <si>
    <t>PRICE_30PK</t>
  </si>
  <si>
    <t>1812.184  (0.000)</t>
  </si>
  <si>
    <t>-93.007  (0.000)</t>
  </si>
  <si>
    <t>Unlogged (EXP'd) values from forecast table:</t>
  </si>
  <si>
    <t>Actual values copied from data sheet</t>
  </si>
  <si>
    <t>CASES_12PK_LN</t>
  </si>
  <si>
    <t>CASES_18PK_LN</t>
  </si>
  <si>
    <t>CASES_30PK_LN</t>
  </si>
  <si>
    <t>PRICE_12PK_LN</t>
  </si>
  <si>
    <t>PRICE_18PK_LN</t>
  </si>
  <si>
    <t>PRICE_30PK_LN</t>
  </si>
  <si>
    <t>Log-log price-demand model</t>
  </si>
  <si>
    <t>May 29, 2015  11:13 AM  RegressIt 2.2.2  Log-log price-demand model</t>
  </si>
  <si>
    <t>Predicted CASES_18PK_LN = 23.831 - 6.705*PRICE_18PK_LN</t>
  </si>
  <si>
    <t>Regression Statistics:    Log-log price-demand model for CASES_18PK_LN    (1 variable, n=52)</t>
  </si>
  <si>
    <t>Coefficient Estimates:    Log-log price-demand model for CASES_18PK_LN    (1 variable, n=52)</t>
  </si>
  <si>
    <t>Analysis of Variance:    Log-log price-demand model for CASES_18PK_LN    (1 variable, n=52)</t>
  </si>
  <si>
    <t>Residual Distribution Statistics:    Log-log price-demand model for CASES_18PK_LN    (1 variable, n=52)</t>
  </si>
  <si>
    <t>Forecasts:  Log-log price-demand model for CASES_18PK_LN    (1 variable, n=52)</t>
  </si>
  <si>
    <t xml:space="preserve">   PRICE_18PK_LN</t>
  </si>
  <si>
    <t>Residuals sorted from largest to smallest by absolute value: Log-log price-demand model for CASES_18PK_LN    (1 variable, n=52)</t>
  </si>
  <si>
    <t>Dependent Variable: CASES_18PK_LN</t>
  </si>
  <si>
    <t>23.831  (0.000)</t>
  </si>
  <si>
    <t>-6.705  (0.000)</t>
  </si>
  <si>
    <t>Values from forecast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</si>
</sst>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0.0"/>
    <numFmt numFmtId="165" formatCode="#,##0.000"/>
    <numFmt numFmtId="166" formatCode="0.000"/>
    <numFmt numFmtId="167" formatCode="0.0%"/>
    <numFmt numFmtId="168" formatCode="#,###"/>
    <numFmt numFmtId="169" formatCode="[$-409]m/d/yy\ h:mm\ AM/PM;@"/>
    <numFmt numFmtId="170" formatCode="0.000000"/>
    <numFmt numFmtId="171" formatCode="&quot;$&quot;#,##0.00"/>
  </numFmts>
  <fonts count="11" x14ac:knownFonts="1">
    <font>
      <sz val="11"/>
      <color theme="1"/>
      <name val="Calibri"/>
      <family val="2"/>
      <scheme val="minor"/>
    </font>
    <font>
      <sz val="8"/>
      <color theme="1"/>
      <name val="Arial"/>
      <family val="2"/>
    </font>
    <font>
      <b/>
      <sz val="8"/>
      <color theme="1"/>
      <name val="Arial"/>
      <family val="2"/>
    </font>
    <font>
      <i/>
      <sz val="8"/>
      <color theme="1"/>
      <name val="Arial"/>
      <family val="2"/>
    </font>
    <font>
      <b/>
      <u/>
      <sz val="8"/>
      <color theme="1"/>
      <name val="Arial"/>
      <family val="2"/>
    </font>
    <font>
      <b/>
      <sz val="7"/>
      <color theme="1"/>
      <name val="Arial"/>
      <family val="2"/>
    </font>
    <font>
      <sz val="8"/>
      <color rgb="FF777777"/>
      <name val="Arial"/>
      <family val="2"/>
    </font>
    <font>
      <sz val="8"/>
      <color theme="0"/>
      <name val="Arial"/>
      <family val="2"/>
    </font>
    <font>
      <sz val="8"/>
      <color rgb="FFF8F8F8"/>
      <name val="Arial"/>
      <family val="2"/>
    </font>
    <font>
      <sz val="9"/>
      <color indexed="81"/>
      <name val="Tahoma"/>
      <family val="2"/>
    </font>
    <font>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right/>
      <top/>
      <bottom style="medium">
        <color indexed="1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0" fillId="0" borderId="0" applyFont="0" applyFill="0" applyBorder="0" applyAlignment="0" applyProtection="0"/>
  </cellStyleXfs>
  <cellXfs count="51">
    <xf numFmtId="0" fontId="0" fillId="0" borderId="0" xfId="0"/>
    <xf numFmtId="2" fontId="0" fillId="0" borderId="0" xfId="0" applyNumberFormat="1"/>
    <xf numFmtId="164" fontId="0" fillId="0" borderId="0" xfId="0" applyNumberFormat="1"/>
    <xf numFmtId="165" fontId="1" fillId="0" borderId="0" xfId="0" applyNumberFormat="1" applyFont="1" applyAlignment="1"/>
    <xf numFmtId="165" fontId="2" fillId="0" borderId="0" xfId="0" applyNumberFormat="1" applyFont="1" applyAlignment="1"/>
    <xf numFmtId="165" fontId="4" fillId="0" borderId="0" xfId="0" applyNumberFormat="1" applyFont="1" applyAlignment="1"/>
    <xf numFmtId="165" fontId="1" fillId="0" borderId="1" xfId="0" applyNumberFormat="1" applyFont="1" applyBorder="1" applyAlignment="1"/>
    <xf numFmtId="165" fontId="5" fillId="0" borderId="1" xfId="0" applyNumberFormat="1" applyFont="1" applyBorder="1" applyAlignment="1">
      <alignment horizontal="right"/>
    </xf>
    <xf numFmtId="166" fontId="1" fillId="0" borderId="0" xfId="0" applyNumberFormat="1" applyFont="1" applyAlignment="1"/>
    <xf numFmtId="1" fontId="1" fillId="0" borderId="0" xfId="0" applyNumberFormat="1" applyFont="1" applyAlignment="1"/>
    <xf numFmtId="167" fontId="1" fillId="0" borderId="0" xfId="0" applyNumberFormat="1" applyFont="1" applyAlignment="1"/>
    <xf numFmtId="165" fontId="5" fillId="0" borderId="1" xfId="0" applyNumberFormat="1" applyFont="1" applyBorder="1" applyAlignment="1">
      <alignment horizontal="left"/>
    </xf>
    <xf numFmtId="168" fontId="1" fillId="0" borderId="0" xfId="0" applyNumberFormat="1" applyFont="1" applyAlignment="1"/>
    <xf numFmtId="165" fontId="6" fillId="0" borderId="0" xfId="0" applyNumberFormat="1" applyFont="1" applyAlignment="1"/>
    <xf numFmtId="0" fontId="1" fillId="0" borderId="0" xfId="0" applyNumberFormat="1" applyFont="1" applyAlignment="1"/>
    <xf numFmtId="165" fontId="7" fillId="0" borderId="0" xfId="0" applyNumberFormat="1" applyFont="1" applyAlignment="1"/>
    <xf numFmtId="165" fontId="8" fillId="0" borderId="0" xfId="0" applyNumberFormat="1" applyFont="1" applyAlignment="1"/>
    <xf numFmtId="1" fontId="2" fillId="0" borderId="0" xfId="0" applyNumberFormat="1" applyFont="1" applyAlignment="1"/>
    <xf numFmtId="166" fontId="2" fillId="0" borderId="0" xfId="0" applyNumberFormat="1" applyFont="1" applyAlignment="1"/>
    <xf numFmtId="165" fontId="1" fillId="0" borderId="0" xfId="0" applyNumberFormat="1" applyFont="1" applyAlignment="1">
      <alignment horizontal="right"/>
    </xf>
    <xf numFmtId="165" fontId="4" fillId="0" borderId="0" xfId="0" applyNumberFormat="1" applyFont="1" applyAlignment="1">
      <alignment horizontal="right"/>
    </xf>
    <xf numFmtId="165" fontId="2" fillId="0" borderId="0" xfId="0" applyNumberFormat="1" applyFont="1" applyAlignment="1">
      <alignment horizontal="right"/>
    </xf>
    <xf numFmtId="165" fontId="2" fillId="0" borderId="0" xfId="0" applyNumberFormat="1" applyFont="1" applyAlignment="1">
      <alignment horizontal="left"/>
    </xf>
    <xf numFmtId="165" fontId="3" fillId="0" borderId="0" xfId="0" applyNumberFormat="1" applyFont="1" applyAlignment="1">
      <alignment horizontal="left"/>
    </xf>
    <xf numFmtId="169" fontId="1" fillId="0" borderId="0" xfId="0" applyNumberFormat="1" applyFont="1" applyAlignment="1">
      <alignment horizontal="right"/>
    </xf>
    <xf numFmtId="1" fontId="1" fillId="0" borderId="0" xfId="0" applyNumberFormat="1" applyFont="1" applyAlignment="1">
      <alignment horizontal="right"/>
    </xf>
    <xf numFmtId="170" fontId="1" fillId="0" borderId="0" xfId="0" applyNumberFormat="1" applyFont="1" applyAlignment="1"/>
    <xf numFmtId="165" fontId="1" fillId="0" borderId="3" xfId="0" applyNumberFormat="1" applyFont="1" applyBorder="1" applyAlignment="1"/>
    <xf numFmtId="165" fontId="1" fillId="0" borderId="4" xfId="0" applyNumberFormat="1" applyFont="1" applyBorder="1" applyAlignment="1"/>
    <xf numFmtId="165" fontId="1" fillId="0" borderId="0" xfId="0" applyNumberFormat="1" applyFont="1" applyBorder="1" applyAlignment="1"/>
    <xf numFmtId="165" fontId="1" fillId="0" borderId="6" xfId="0" applyNumberFormat="1" applyFont="1" applyBorder="1" applyAlignment="1"/>
    <xf numFmtId="3" fontId="1" fillId="2" borderId="6" xfId="0" applyNumberFormat="1" applyFont="1" applyFill="1" applyBorder="1" applyAlignment="1"/>
    <xf numFmtId="165" fontId="1" fillId="0" borderId="8" xfId="0" applyNumberFormat="1" applyFont="1" applyBorder="1" applyAlignment="1"/>
    <xf numFmtId="3" fontId="1" fillId="2" borderId="9" xfId="0" applyNumberFormat="1" applyFont="1" applyFill="1" applyBorder="1" applyAlignment="1"/>
    <xf numFmtId="165" fontId="5" fillId="0" borderId="0" xfId="0" applyNumberFormat="1" applyFont="1" applyBorder="1" applyAlignment="1">
      <alignment horizontal="right"/>
    </xf>
    <xf numFmtId="3" fontId="1" fillId="2" borderId="4" xfId="0" applyNumberFormat="1" applyFont="1" applyFill="1" applyBorder="1" applyAlignment="1"/>
    <xf numFmtId="3" fontId="1" fillId="0" borderId="3" xfId="0" applyNumberFormat="1" applyFont="1" applyBorder="1" applyAlignment="1"/>
    <xf numFmtId="3" fontId="1" fillId="0" borderId="0" xfId="0" applyNumberFormat="1" applyFont="1" applyBorder="1" applyAlignment="1"/>
    <xf numFmtId="3" fontId="1" fillId="0" borderId="8" xfId="0" applyNumberFormat="1" applyFont="1" applyBorder="1" applyAlignment="1"/>
    <xf numFmtId="165" fontId="1" fillId="0" borderId="9" xfId="0" applyNumberFormat="1" applyFont="1" applyBorder="1" applyAlignment="1"/>
    <xf numFmtId="171" fontId="1" fillId="0" borderId="2" xfId="0" applyNumberFormat="1" applyFont="1" applyBorder="1" applyAlignment="1"/>
    <xf numFmtId="171" fontId="1" fillId="0" borderId="5" xfId="0" applyNumberFormat="1" applyFont="1" applyBorder="1" applyAlignment="1"/>
    <xf numFmtId="171" fontId="1" fillId="0" borderId="7" xfId="0" applyNumberFormat="1" applyFont="1" applyBorder="1" applyAlignment="1"/>
    <xf numFmtId="171" fontId="1" fillId="0" borderId="2" xfId="1" applyNumberFormat="1" applyFont="1" applyBorder="1" applyAlignment="1"/>
    <xf numFmtId="171" fontId="1" fillId="0" borderId="5" xfId="1" applyNumberFormat="1" applyFont="1" applyBorder="1" applyAlignment="1"/>
    <xf numFmtId="171" fontId="1" fillId="0" borderId="7" xfId="1" applyNumberFormat="1" applyFont="1" applyBorder="1" applyAlignment="1"/>
    <xf numFmtId="171" fontId="1" fillId="2" borderId="2" xfId="0" applyNumberFormat="1" applyFont="1" applyFill="1" applyBorder="1" applyAlignment="1"/>
    <xf numFmtId="171" fontId="1" fillId="2" borderId="5" xfId="0" applyNumberFormat="1" applyFont="1" applyFill="1" applyBorder="1" applyAlignment="1"/>
    <xf numFmtId="171" fontId="1" fillId="2" borderId="7" xfId="0" applyNumberFormat="1" applyFont="1" applyFill="1" applyBorder="1" applyAlignment="1"/>
    <xf numFmtId="171" fontId="1" fillId="3" borderId="0" xfId="1" applyNumberFormat="1" applyFont="1" applyFill="1" applyAlignment="1"/>
    <xf numFmtId="2" fontId="1" fillId="3" borderId="0" xfId="0" applyNumberFormat="1"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FDE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Linear price-demand model for CASES_18PK    (1 variable, n=52)
Predicted CASES_18PK = 1,812 - 93.007*PRICE_18PK</a:t>
            </a:r>
          </a:p>
        </c:rich>
      </c:tx>
      <c:layout/>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14.1</c:v>
              </c:pt>
              <c:pt idx="1">
                <c:v>18.649999999999999</c:v>
              </c:pt>
              <c:pt idx="2">
                <c:v>18.649999999999999</c:v>
              </c:pt>
              <c:pt idx="3">
                <c:v>18.649999999999999</c:v>
              </c:pt>
              <c:pt idx="4">
                <c:v>18.649999999999999</c:v>
              </c:pt>
              <c:pt idx="5">
                <c:v>18.649999999999999</c:v>
              </c:pt>
              <c:pt idx="6">
                <c:v>18.649999999999999</c:v>
              </c:pt>
              <c:pt idx="7">
                <c:v>18.73</c:v>
              </c:pt>
              <c:pt idx="8">
                <c:v>18.75</c:v>
              </c:pt>
              <c:pt idx="9">
                <c:v>18.75</c:v>
              </c:pt>
              <c:pt idx="10">
                <c:v>18.75</c:v>
              </c:pt>
              <c:pt idx="11">
                <c:v>18.75</c:v>
              </c:pt>
              <c:pt idx="12">
                <c:v>13.87</c:v>
              </c:pt>
              <c:pt idx="13">
                <c:v>14.27</c:v>
              </c:pt>
              <c:pt idx="14">
                <c:v>18.760000000000002</c:v>
              </c:pt>
              <c:pt idx="15">
                <c:v>18.77</c:v>
              </c:pt>
              <c:pt idx="16">
                <c:v>13.87</c:v>
              </c:pt>
              <c:pt idx="17">
                <c:v>14.14</c:v>
              </c:pt>
              <c:pt idx="18">
                <c:v>18.760000000000002</c:v>
              </c:pt>
              <c:pt idx="19">
                <c:v>18.72</c:v>
              </c:pt>
              <c:pt idx="20">
                <c:v>18.760000000000002</c:v>
              </c:pt>
              <c:pt idx="21">
                <c:v>18.760000000000002</c:v>
              </c:pt>
              <c:pt idx="22">
                <c:v>18.739999999999998</c:v>
              </c:pt>
              <c:pt idx="23">
                <c:v>18.75</c:v>
              </c:pt>
              <c:pt idx="24">
                <c:v>18.75</c:v>
              </c:pt>
              <c:pt idx="25">
                <c:v>18.75</c:v>
              </c:pt>
              <c:pt idx="26">
                <c:v>18.75</c:v>
              </c:pt>
              <c:pt idx="27">
                <c:v>13.79</c:v>
              </c:pt>
              <c:pt idx="28">
                <c:v>13.49</c:v>
              </c:pt>
              <c:pt idx="29">
                <c:v>14.89</c:v>
              </c:pt>
              <c:pt idx="30">
                <c:v>13.94</c:v>
              </c:pt>
              <c:pt idx="31">
                <c:v>13.67</c:v>
              </c:pt>
              <c:pt idx="32">
                <c:v>14.43</c:v>
              </c:pt>
              <c:pt idx="33">
                <c:v>18.75</c:v>
              </c:pt>
              <c:pt idx="34">
                <c:v>18.22</c:v>
              </c:pt>
              <c:pt idx="35">
                <c:v>14.06</c:v>
              </c:pt>
              <c:pt idx="36">
                <c:v>14.43</c:v>
              </c:pt>
              <c:pt idx="37">
                <c:v>19.48</c:v>
              </c:pt>
              <c:pt idx="38">
                <c:v>15.15</c:v>
              </c:pt>
              <c:pt idx="39">
                <c:v>13.79</c:v>
              </c:pt>
              <c:pt idx="40">
                <c:v>14.31</c:v>
              </c:pt>
              <c:pt idx="41">
                <c:v>19.5</c:v>
              </c:pt>
              <c:pt idx="42">
                <c:v>13.85</c:v>
              </c:pt>
              <c:pt idx="43">
                <c:v>14.23</c:v>
              </c:pt>
              <c:pt idx="44">
                <c:v>19.309999999999999</c:v>
              </c:pt>
              <c:pt idx="45">
                <c:v>19.29</c:v>
              </c:pt>
              <c:pt idx="46">
                <c:v>13.76</c:v>
              </c:pt>
              <c:pt idx="47">
                <c:v>13.45</c:v>
              </c:pt>
              <c:pt idx="48">
                <c:v>15.13</c:v>
              </c:pt>
              <c:pt idx="49">
                <c:v>19.43</c:v>
              </c:pt>
              <c:pt idx="50">
                <c:v>13.26</c:v>
              </c:pt>
              <c:pt idx="51">
                <c:v>13.92</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ser>
        <c:dLbls>
          <c:showLegendKey val="0"/>
          <c:showVal val="0"/>
          <c:showCatName val="0"/>
          <c:showSerName val="0"/>
          <c:showPercent val="0"/>
          <c:showBubbleSize val="0"/>
        </c:dLbls>
        <c:axId val="413441408"/>
        <c:axId val="417898496"/>
      </c:scatterChart>
      <c:scatterChart>
        <c:scatterStyle val="lineMarker"/>
        <c:varyColors val="0"/>
        <c:ser>
          <c:idx val="1"/>
          <c:order val="1"/>
          <c:tx>
            <c:strRef>
              <c:f>'Linear price-demand model'!$G$25</c:f>
              <c:strCache>
                <c:ptCount val="1"/>
                <c:pt idx="0">
                  <c:v>Upper 95%</c:v>
                </c:pt>
              </c:strCache>
            </c:strRef>
          </c:tx>
          <c:spPr>
            <a:ln w="15875">
              <a:solidFill>
                <a:srgbClr val="FF0000"/>
              </a:solidFill>
              <a:prstDash val="sysDash"/>
            </a:ln>
          </c:spPr>
          <c:marker>
            <c:symbol val="none"/>
          </c:marker>
          <c:xVal>
            <c:numRef>
              <c:f>'Linear price-demand model'!$B$26:$B$30</c:f>
              <c:numCache>
                <c:formatCode>#,##0.000</c:formatCode>
                <c:ptCount val="5"/>
                <c:pt idx="0">
                  <c:v>13.26</c:v>
                </c:pt>
                <c:pt idx="1">
                  <c:v>14.82</c:v>
                </c:pt>
                <c:pt idx="2">
                  <c:v>16.38</c:v>
                </c:pt>
                <c:pt idx="3">
                  <c:v>17.940000000000001</c:v>
                </c:pt>
                <c:pt idx="4">
                  <c:v>19.5</c:v>
                </c:pt>
              </c:numCache>
            </c:numRef>
          </c:xVal>
          <c:yVal>
            <c:numRef>
              <c:f>'Linear price-demand model'!$G$26:$G$30</c:f>
              <c:numCache>
                <c:formatCode>#,##0.000</c:formatCode>
                <c:ptCount val="5"/>
                <c:pt idx="0">
                  <c:v>848.79652063586968</c:v>
                </c:pt>
                <c:pt idx="1">
                  <c:v>700.08330041208978</c:v>
                </c:pt>
                <c:pt idx="2">
                  <c:v>553.45998509987396</c:v>
                </c:pt>
                <c:pt idx="3">
                  <c:v>408.96277752552953</c:v>
                </c:pt>
                <c:pt idx="4">
                  <c:v>266.5775396249532</c:v>
                </c:pt>
              </c:numCache>
            </c:numRef>
          </c:yVal>
          <c:smooth val="1"/>
        </c:ser>
        <c:ser>
          <c:idx val="2"/>
          <c:order val="2"/>
          <c:tx>
            <c:strRef>
              <c:f>'Linear price-demand model'!$E$25</c:f>
              <c:strCache>
                <c:ptCount val="1"/>
                <c:pt idx="0">
                  <c:v>Predicted</c:v>
                </c:pt>
              </c:strCache>
            </c:strRef>
          </c:tx>
          <c:spPr>
            <a:ln w="19050">
              <a:solidFill>
                <a:srgbClr val="FF0000"/>
              </a:solidFill>
              <a:prstDash val="solid"/>
            </a:ln>
          </c:spPr>
          <c:marker>
            <c:symbol val="none"/>
          </c:marker>
          <c:xVal>
            <c:numRef>
              <c:f>'Linear price-demand model'!$B$26:$B$30</c:f>
              <c:numCache>
                <c:formatCode>#,##0.000</c:formatCode>
                <c:ptCount val="5"/>
                <c:pt idx="0">
                  <c:v>13.26</c:v>
                </c:pt>
                <c:pt idx="1">
                  <c:v>14.82</c:v>
                </c:pt>
                <c:pt idx="2">
                  <c:v>16.38</c:v>
                </c:pt>
                <c:pt idx="3">
                  <c:v>17.940000000000001</c:v>
                </c:pt>
                <c:pt idx="4">
                  <c:v>19.5</c:v>
                </c:pt>
              </c:numCache>
            </c:numRef>
          </c:xVal>
          <c:yVal>
            <c:numRef>
              <c:f>'Linear price-demand model'!$E$26:$E$30</c:f>
              <c:numCache>
                <c:formatCode>#,##0.000</c:formatCode>
                <c:ptCount val="5"/>
                <c:pt idx="0">
                  <c:v>578.90750433940252</c:v>
                </c:pt>
                <c:pt idx="1">
                  <c:v>433.81615913507221</c:v>
                </c:pt>
                <c:pt idx="2">
                  <c:v>288.7248139307419</c:v>
                </c:pt>
                <c:pt idx="3">
                  <c:v>143.63346872641137</c:v>
                </c:pt>
                <c:pt idx="4">
                  <c:v>-1.4578764779187168</c:v>
                </c:pt>
              </c:numCache>
            </c:numRef>
          </c:yVal>
          <c:smooth val="0"/>
        </c:ser>
        <c:ser>
          <c:idx val="3"/>
          <c:order val="3"/>
          <c:tx>
            <c:strRef>
              <c:f>'Linear price-demand model'!$F$25</c:f>
              <c:strCache>
                <c:ptCount val="1"/>
                <c:pt idx="0">
                  <c:v>Lower 95%</c:v>
                </c:pt>
              </c:strCache>
            </c:strRef>
          </c:tx>
          <c:spPr>
            <a:ln w="15875">
              <a:solidFill>
                <a:srgbClr val="FF0000"/>
              </a:solidFill>
              <a:prstDash val="sysDash"/>
            </a:ln>
          </c:spPr>
          <c:marker>
            <c:symbol val="none"/>
          </c:marker>
          <c:xVal>
            <c:numRef>
              <c:f>'Linear price-demand model'!$B$26:$B$30</c:f>
              <c:numCache>
                <c:formatCode>#,##0.000</c:formatCode>
                <c:ptCount val="5"/>
                <c:pt idx="0">
                  <c:v>13.26</c:v>
                </c:pt>
                <c:pt idx="1">
                  <c:v>14.82</c:v>
                </c:pt>
                <c:pt idx="2">
                  <c:v>16.38</c:v>
                </c:pt>
                <c:pt idx="3">
                  <c:v>17.940000000000001</c:v>
                </c:pt>
                <c:pt idx="4">
                  <c:v>19.5</c:v>
                </c:pt>
              </c:numCache>
            </c:numRef>
          </c:xVal>
          <c:yVal>
            <c:numRef>
              <c:f>'Linear price-demand model'!$F$26:$F$30</c:f>
              <c:numCache>
                <c:formatCode>#,##0.000</c:formatCode>
                <c:ptCount val="5"/>
                <c:pt idx="0">
                  <c:v>309.01848804293542</c:v>
                </c:pt>
                <c:pt idx="1">
                  <c:v>167.54901785805464</c:v>
                </c:pt>
                <c:pt idx="2">
                  <c:v>23.989642761609844</c:v>
                </c:pt>
                <c:pt idx="3">
                  <c:v>-121.6958400727068</c:v>
                </c:pt>
                <c:pt idx="4">
                  <c:v>-269.49329258079064</c:v>
                </c:pt>
              </c:numCache>
            </c:numRef>
          </c:yVal>
          <c:smooth val="1"/>
        </c:ser>
        <c:dLbls>
          <c:showLegendKey val="0"/>
          <c:showVal val="0"/>
          <c:showCatName val="0"/>
          <c:showSerName val="0"/>
          <c:showPercent val="0"/>
          <c:showBubbleSize val="0"/>
        </c:dLbls>
        <c:axId val="342609920"/>
        <c:axId val="417900800"/>
      </c:scatterChart>
      <c:valAx>
        <c:axId val="413441408"/>
        <c:scaling>
          <c:orientation val="minMax"/>
          <c:min val="13"/>
        </c:scaling>
        <c:delete val="0"/>
        <c:axPos val="b"/>
        <c:title>
          <c:tx>
            <c:rich>
              <a:bodyPr/>
              <a:lstStyle/>
              <a:p>
                <a:pPr>
                  <a:defRPr/>
                </a:pPr>
                <a:r>
                  <a:rPr lang="en-US"/>
                  <a:t>PRICE_18PK</a:t>
                </a:r>
              </a:p>
            </c:rich>
          </c:tx>
          <c:layout/>
          <c:overlay val="0"/>
        </c:title>
        <c:numFmt formatCode="General" sourceLinked="1"/>
        <c:majorTickMark val="out"/>
        <c:minorTickMark val="none"/>
        <c:tickLblPos val="nextTo"/>
        <c:crossAx val="417898496"/>
        <c:crossesAt val="-400"/>
        <c:crossBetween val="midCat"/>
      </c:valAx>
      <c:valAx>
        <c:axId val="417898496"/>
        <c:scaling>
          <c:orientation val="minMax"/>
          <c:max val="1000"/>
          <c:min val="0"/>
        </c:scaling>
        <c:delete val="0"/>
        <c:axPos val="l"/>
        <c:majorGridlines>
          <c:spPr>
            <a:ln w="3175">
              <a:solidFill>
                <a:srgbClr val="C0C0C0"/>
              </a:solidFill>
              <a:prstDash val="solid"/>
            </a:ln>
          </c:spPr>
        </c:majorGridlines>
        <c:title>
          <c:tx>
            <c:rich>
              <a:bodyPr/>
              <a:lstStyle/>
              <a:p>
                <a:pPr>
                  <a:defRPr/>
                </a:pPr>
                <a:r>
                  <a:rPr lang="en-US"/>
                  <a:t>CASES_18PK</a:t>
                </a:r>
              </a:p>
            </c:rich>
          </c:tx>
          <c:layout>
            <c:manualLayout>
              <c:xMode val="edge"/>
              <c:yMode val="edge"/>
              <c:x val="2.5685931115002919E-2"/>
              <c:y val="0.3651974336541266"/>
            </c:manualLayout>
          </c:layout>
          <c:overlay val="0"/>
        </c:title>
        <c:numFmt formatCode="General" sourceLinked="1"/>
        <c:majorTickMark val="out"/>
        <c:minorTickMark val="none"/>
        <c:tickLblPos val="nextTo"/>
        <c:crossAx val="413441408"/>
        <c:crossesAt val="13"/>
        <c:crossBetween val="midCat"/>
      </c:valAx>
      <c:valAx>
        <c:axId val="417900800"/>
        <c:scaling>
          <c:orientation val="minMax"/>
        </c:scaling>
        <c:delete val="1"/>
        <c:axPos val="r"/>
        <c:numFmt formatCode="#,##0.000" sourceLinked="1"/>
        <c:majorTickMark val="out"/>
        <c:minorTickMark val="none"/>
        <c:tickLblPos val="nextTo"/>
        <c:crossAx val="342609920"/>
        <c:crosses val="max"/>
        <c:crossBetween val="midCat"/>
      </c:valAx>
      <c:valAx>
        <c:axId val="342609920"/>
        <c:scaling>
          <c:orientation val="minMax"/>
        </c:scaling>
        <c:delete val="1"/>
        <c:axPos val="b"/>
        <c:numFmt formatCode="#,##0.000" sourceLinked="1"/>
        <c:majorTickMark val="out"/>
        <c:minorTickMark val="none"/>
        <c:tickLblPos val="nextTo"/>
        <c:crossAx val="417900800"/>
        <c:crosses val="autoZero"/>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'Log-log price-demand model'!$AA$2</c:f>
          <c:strCache>
            <c:ptCount val="1"/>
            <c:pt idx="0">
              <c:v>Forecasts and 95.0% confidence limits for means and forecasts
Log-log price-demand model for CASES_18PK_LN    (1 variable, n=52)</c:v>
            </c:pt>
          </c:strCache>
        </c:strRef>
      </c:tx>
      <c:layout/>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'Log-log price-demand model'!$CG$52:$CG$66</c:f>
                <c:numCache>
                  <c:formatCode>General</c:formatCode>
                  <c:ptCount val="15"/>
                  <c:pt idx="0">
                    <c:v>0.73984414673166543</c:v>
                  </c:pt>
                  <c:pt idx="1">
                    <c:v>0.73464094437918992</c:v>
                  </c:pt>
                  <c:pt idx="2">
                    <c:v>0.73043519161393089</c:v>
                  </c:pt>
                  <c:pt idx="3">
                    <c:v>0.72714210484567054</c:v>
                  </c:pt>
                  <c:pt idx="4">
                    <c:v>0.72468406314918732</c:v>
                  </c:pt>
                  <c:pt idx="5">
                    <c:v>0.72298989627099408</c:v>
                  </c:pt>
                  <c:pt idx="6">
                    <c:v>0.72199427876419797</c:v>
                  </c:pt>
                  <c:pt idx="7">
                    <c:v>0.72163720698936729</c:v>
                  </c:pt>
                  <c:pt idx="8">
                    <c:v>0.72186354146014398</c:v>
                  </c:pt>
                  <c:pt idx="9">
                    <c:v>0.72262260136952561</c:v>
                  </c:pt>
                  <c:pt idx="10">
                    <c:v>0.72386780142762597</c:v>
                  </c:pt>
                  <c:pt idx="11">
                    <c:v>0.72555632361923139</c:v>
                  </c:pt>
                  <c:pt idx="12">
                    <c:v>0.72764881833885642</c:v>
                  </c:pt>
                  <c:pt idx="13">
                    <c:v>0.73010913072976946</c:v>
                  </c:pt>
                  <c:pt idx="14">
                    <c:v>0.73290404905699824</c:v>
                  </c:pt>
                </c:numCache>
              </c:numRef>
            </c:plus>
            <c:minus>
              <c:numRef>
                <c:f>'Log-log price-demand model'!$CG$52:$CG$66</c:f>
                <c:numCache>
                  <c:formatCode>General</c:formatCode>
                  <c:ptCount val="15"/>
                  <c:pt idx="0">
                    <c:v>0.73984414673166543</c:v>
                  </c:pt>
                  <c:pt idx="1">
                    <c:v>0.73464094437918992</c:v>
                  </c:pt>
                  <c:pt idx="2">
                    <c:v>0.73043519161393089</c:v>
                  </c:pt>
                  <c:pt idx="3">
                    <c:v>0.72714210484567054</c:v>
                  </c:pt>
                  <c:pt idx="4">
                    <c:v>0.72468406314918732</c:v>
                  </c:pt>
                  <c:pt idx="5">
                    <c:v>0.72298989627099408</c:v>
                  </c:pt>
                  <c:pt idx="6">
                    <c:v>0.72199427876419797</c:v>
                  </c:pt>
                  <c:pt idx="7">
                    <c:v>0.72163720698936729</c:v>
                  </c:pt>
                  <c:pt idx="8">
                    <c:v>0.72186354146014398</c:v>
                  </c:pt>
                  <c:pt idx="9">
                    <c:v>0.72262260136952561</c:v>
                  </c:pt>
                  <c:pt idx="10">
                    <c:v>0.72386780142762597</c:v>
                  </c:pt>
                  <c:pt idx="11">
                    <c:v>0.72555632361923139</c:v>
                  </c:pt>
                  <c:pt idx="12">
                    <c:v>0.72764881833885642</c:v>
                  </c:pt>
                  <c:pt idx="13">
                    <c:v>0.73010913072976946</c:v>
                  </c:pt>
                  <c:pt idx="14">
                    <c:v>0.73290404905699824</c:v>
                  </c:pt>
                </c:numCache>
              </c:numRef>
            </c:minus>
          </c:errBars>
          <c:cat>
            <c:numRef>
              <c:f>'Log-log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cat>
          <c:val>
            <c:numRef>
              <c:f>'Log-log price-demand model'!$B$52:$B$66</c:f>
              <c:numCache>
                <c:formatCode>#,##0.000</c:formatCode>
                <c:ptCount val="15"/>
                <c:pt idx="0">
                  <c:v>6.632734336290472</c:v>
                </c:pt>
                <c:pt idx="1">
                  <c:v>6.379677403613222</c:v>
                </c:pt>
                <c:pt idx="2">
                  <c:v>6.13582460809004</c:v>
                </c:pt>
                <c:pt idx="3">
                  <c:v>5.9005298390813437</c:v>
                </c:pt>
                <c:pt idx="4">
                  <c:v>5.6732127186804213</c:v>
                </c:pt>
                <c:pt idx="5">
                  <c:v>5.4533499768836933</c:v>
                </c:pt>
                <c:pt idx="6">
                  <c:v>5.2404681965336515</c:v>
                </c:pt>
                <c:pt idx="7">
                  <c:v>5.0341376749987283</c:v>
                </c:pt>
                <c:pt idx="8">
                  <c:v>4.8339672024628548</c:v>
                </c:pt>
                <c:pt idx="9">
                  <c:v>4.6395995973284272</c:v>
                </c:pt>
                <c:pt idx="10">
                  <c:v>4.4507078707048464</c:v>
                </c:pt>
                <c:pt idx="11">
                  <c:v>4.2669919165218673</c:v>
                </c:pt>
                <c:pt idx="12">
                  <c:v>4.0881756431297021</c:v>
                </c:pt>
                <c:pt idx="13">
                  <c:v>3.9140044775532878</c:v>
                </c:pt>
                <c:pt idx="14">
                  <c:v>3.7442431857720422</c:v>
                </c:pt>
              </c:numCache>
            </c:numRef>
          </c:val>
          <c:smooth val="0"/>
        </c:ser>
        <c:ser>
          <c:idx val="1"/>
          <c:order val="1"/>
          <c:tx>
            <c:strRef>
              <c:f>'Log-log price-demand model'!$H$51</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cat>
            <c:numRef>
              <c:f>'Log-log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cat>
          <c:val>
            <c:numRef>
              <c:f>'Log-log price-demand model'!$H$52:$H$66</c:f>
              <c:numCache>
                <c:formatCode>0.000</c:formatCode>
                <c:ptCount val="15"/>
                <c:pt idx="0">
                  <c:v>6.8236234791371615</c:v>
                </c:pt>
                <c:pt idx="1">
                  <c:v>6.5492846574733852</c:v>
                </c:pt>
                <c:pt idx="2">
                  <c:v>6.2861737768663177</c:v>
                </c:pt>
                <c:pt idx="3">
                  <c:v>6.0339650070207957</c:v>
                </c:pt>
                <c:pt idx="4">
                  <c:v>5.7925286639101055</c:v>
                </c:pt>
                <c:pt idx="5">
                  <c:v>5.5619026991599236</c:v>
                </c:pt>
                <c:pt idx="6">
                  <c:v>5.3421787759827541</c:v>
                </c:pt>
                <c:pt idx="7">
                  <c:v>5.1332818221535286</c:v>
                </c:pt>
                <c:pt idx="8">
                  <c:v>4.9347455527818518</c:v>
                </c:pt>
                <c:pt idx="9">
                  <c:v>4.7456784708787154</c:v>
                </c:pt>
                <c:pt idx="10">
                  <c:v>4.5649615242451285</c:v>
                </c:pt>
                <c:pt idx="11">
                  <c:v>4.3914960616235161</c:v>
                </c:pt>
                <c:pt idx="12">
                  <c:v>4.2243450458366674</c:v>
                </c:pt>
                <c:pt idx="13">
                  <c:v>4.062761481350142</c:v>
                </c:pt>
                <c:pt idx="14">
                  <c:v>3.9061618336412129</c:v>
                </c:pt>
              </c:numCache>
            </c:numRef>
          </c:val>
          <c:smooth val="0"/>
        </c:ser>
        <c:ser>
          <c:idx val="2"/>
          <c:order val="2"/>
          <c:tx>
            <c:strRef>
              <c:f>'Log-log price-demand model'!$G$51</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cat>
            <c:numRef>
              <c:f>'Log-log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cat>
          <c:val>
            <c:numRef>
              <c:f>'Log-log price-demand model'!$G$52:$G$66</c:f>
              <c:numCache>
                <c:formatCode>0.000</c:formatCode>
                <c:ptCount val="15"/>
                <c:pt idx="0">
                  <c:v>6.4418451934437826</c:v>
                </c:pt>
                <c:pt idx="1">
                  <c:v>6.2100701497530588</c:v>
                </c:pt>
                <c:pt idx="2">
                  <c:v>5.9854754393137624</c:v>
                </c:pt>
                <c:pt idx="3">
                  <c:v>5.7670946711418916</c:v>
                </c:pt>
                <c:pt idx="4">
                  <c:v>5.5538967734507372</c:v>
                </c:pt>
                <c:pt idx="5">
                  <c:v>5.3447972546074629</c:v>
                </c:pt>
                <c:pt idx="6">
                  <c:v>5.1387576170845488</c:v>
                </c:pt>
                <c:pt idx="7">
                  <c:v>4.9349935278439281</c:v>
                </c:pt>
                <c:pt idx="8">
                  <c:v>4.7331888521438579</c:v>
                </c:pt>
                <c:pt idx="9">
                  <c:v>4.533520723778139</c:v>
                </c:pt>
                <c:pt idx="10">
                  <c:v>4.3364542171645644</c:v>
                </c:pt>
                <c:pt idx="11">
                  <c:v>4.1424877714202184</c:v>
                </c:pt>
                <c:pt idx="12">
                  <c:v>3.9520062404227372</c:v>
                </c:pt>
                <c:pt idx="13">
                  <c:v>3.7652474737564341</c:v>
                </c:pt>
                <c:pt idx="14">
                  <c:v>3.5823245379028714</c:v>
                </c:pt>
              </c:numCache>
            </c:numRef>
          </c:val>
          <c:smooth val="0"/>
        </c:ser>
        <c:dLbls>
          <c:showLegendKey val="0"/>
          <c:showVal val="0"/>
          <c:showCatName val="0"/>
          <c:showSerName val="0"/>
          <c:showPercent val="0"/>
          <c:showBubbleSize val="0"/>
        </c:dLbls>
        <c:marker val="1"/>
        <c:smooth val="0"/>
        <c:axId val="343337984"/>
        <c:axId val="343340544"/>
      </c:lineChart>
      <c:catAx>
        <c:axId val="343337984"/>
        <c:scaling>
          <c:orientation val="minMax"/>
        </c:scaling>
        <c:delete val="0"/>
        <c:axPos val="b"/>
        <c:title>
          <c:tx>
            <c:rich>
              <a:bodyPr/>
              <a:lstStyle/>
              <a:p>
                <a:pPr>
                  <a:defRPr/>
                </a:pPr>
                <a:r>
                  <a:rPr lang="en-US"/>
                  <a:t>Observation #</a:t>
                </a:r>
              </a:p>
            </c:rich>
          </c:tx>
          <c:layout/>
          <c:overlay val="0"/>
        </c:title>
        <c:numFmt formatCode="0" sourceLinked="1"/>
        <c:majorTickMark val="out"/>
        <c:minorTickMark val="none"/>
        <c:tickLblPos val="nextTo"/>
        <c:crossAx val="343340544"/>
        <c:crossesAt val="3"/>
        <c:auto val="1"/>
        <c:lblAlgn val="ctr"/>
        <c:lblOffset val="100"/>
        <c:noMultiLvlLbl val="0"/>
      </c:catAx>
      <c:valAx>
        <c:axId val="343340544"/>
        <c:scaling>
          <c:orientation val="minMax"/>
          <c:max val="8"/>
          <c:min val="3"/>
        </c:scaling>
        <c:delete val="0"/>
        <c:axPos val="l"/>
        <c:majorGridlines>
          <c:spPr>
            <a:ln w="3175">
              <a:solidFill>
                <a:srgbClr val="C0C0C0"/>
              </a:solidFill>
              <a:prstDash val="solid"/>
            </a:ln>
          </c:spPr>
        </c:majorGridlines>
        <c:title>
          <c:tx>
            <c:rich>
              <a:bodyPr/>
              <a:lstStyle/>
              <a:p>
                <a:pPr>
                  <a:defRPr/>
                </a:pPr>
                <a:r>
                  <a:rPr lang="en-US"/>
                  <a:t>CASES_18PK_LN</a:t>
                </a:r>
              </a:p>
            </c:rich>
          </c:tx>
          <c:layout>
            <c:manualLayout>
              <c:xMode val="edge"/>
              <c:yMode val="edge"/>
              <c:x val="2.7883396704689482E-2"/>
              <c:y val="0.32619753086419756"/>
            </c:manualLayout>
          </c:layout>
          <c:overlay val="0"/>
        </c:title>
        <c:numFmt formatCode="General" sourceLinked="0"/>
        <c:majorTickMark val="out"/>
        <c:minorTickMark val="none"/>
        <c:tickLblPos val="nextTo"/>
        <c:crossAx val="343337984"/>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'Log-log price-demand model'!$AA$3</c:f>
          <c:strCache>
            <c:ptCount val="1"/>
            <c:pt idx="0">
              <c:v>Actual and predicted -vs- Observation # with 95.0% confidence limits
Log-log price-demand model for CASES_18PK_LN    (1 variable, n=52)</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ser>
        <c:ser>
          <c:idx val="1"/>
          <c:order val="1"/>
          <c:tx>
            <c:v>Predicted</c:v>
          </c:tx>
          <c:spPr>
            <a:ln w="25400">
              <a:noFill/>
            </a:ln>
          </c:spPr>
          <c:marker>
            <c:symbol val="circle"/>
            <c:size val="6"/>
            <c:spPr>
              <a:noFill/>
              <a:ln w="9525">
                <a:solidFill>
                  <a:srgbClr val="FF0000"/>
                </a:solidFill>
                <a:prstDash val="soli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6.0881004716480724</c:v>
              </c:pt>
              <c:pt idx="1">
                <c:v>4.2128445466508069</c:v>
              </c:pt>
              <c:pt idx="2">
                <c:v>4.2128445466508069</c:v>
              </c:pt>
              <c:pt idx="3">
                <c:v>4.2128445466508069</c:v>
              </c:pt>
              <c:pt idx="4">
                <c:v>4.2128445466508069</c:v>
              </c:pt>
              <c:pt idx="5">
                <c:v>4.2128445466508069</c:v>
              </c:pt>
              <c:pt idx="6">
                <c:v>4.2128445466508069</c:v>
              </c:pt>
              <c:pt idx="7">
                <c:v>4.1841437522094225</c:v>
              </c:pt>
              <c:pt idx="8">
                <c:v>4.176987707918812</c:v>
              </c:pt>
              <c:pt idx="9">
                <c:v>4.176987707918812</c:v>
              </c:pt>
              <c:pt idx="10">
                <c:v>4.176987707918812</c:v>
              </c:pt>
              <c:pt idx="11">
                <c:v>4.176987707918812</c:v>
              </c:pt>
              <c:pt idx="12">
                <c:v>6.1983781778268749</c:v>
              </c:pt>
              <c:pt idx="13">
                <c:v>6.0077409488809863</c:v>
              </c:pt>
              <c:pt idx="14">
                <c:v>4.173412547682755</c:v>
              </c:pt>
              <c:pt idx="15">
                <c:v>4.1698392926747303</c:v>
              </c:pt>
              <c:pt idx="16">
                <c:v>6.1983781778268749</c:v>
              </c:pt>
              <c:pt idx="17">
                <c:v>6.0691055216536149</c:v>
              </c:pt>
              <c:pt idx="18">
                <c:v>4.173412547682755</c:v>
              </c:pt>
              <c:pt idx="19">
                <c:v>4.1877246403393187</c:v>
              </c:pt>
              <c:pt idx="20">
                <c:v>4.173412547682755</c:v>
              </c:pt>
              <c:pt idx="21">
                <c:v>4.173412547682755</c:v>
              </c:pt>
              <c:pt idx="22">
                <c:v>4.1805647754156858</c:v>
              </c:pt>
              <c:pt idx="23">
                <c:v>4.176987707918812</c:v>
              </c:pt>
              <c:pt idx="24">
                <c:v>4.176987707918812</c:v>
              </c:pt>
              <c:pt idx="25">
                <c:v>4.176987707918812</c:v>
              </c:pt>
              <c:pt idx="26">
                <c:v>4.176987707918812</c:v>
              </c:pt>
              <c:pt idx="27">
                <c:v>6.237164766753839</c:v>
              </c:pt>
              <c:pt idx="28">
                <c:v>6.3846460684303352</c:v>
              </c:pt>
              <c:pt idx="29">
                <c:v>5.7225654617281343</c:v>
              </c:pt>
              <c:pt idx="30">
                <c:v>6.1646229896409572</c:v>
              </c:pt>
              <c:pt idx="31">
                <c:v>6.2957686025628092</c:v>
              </c:pt>
              <c:pt idx="32">
                <c:v>5.9329782190647187</c:v>
              </c:pt>
              <c:pt idx="33">
                <c:v>4.176987707918812</c:v>
              </c:pt>
              <c:pt idx="34">
                <c:v>4.369252046767528</c:v>
              </c:pt>
              <c:pt idx="35">
                <c:v>6.1071493846411329</c:v>
              </c:pt>
              <c:pt idx="36">
                <c:v>5.9329782190647187</c:v>
              </c:pt>
              <c:pt idx="37">
                <c:v>3.9208851481046061</c:v>
              </c:pt>
              <c:pt idx="38">
                <c:v>5.6064936322439962</c:v>
              </c:pt>
              <c:pt idx="39">
                <c:v>6.237164766753839</c:v>
              </c:pt>
              <c:pt idx="40">
                <c:v>5.9889719712966958</c:v>
              </c:pt>
              <c:pt idx="41">
                <c:v>3.9140044775532878</c:v>
              </c:pt>
              <c:pt idx="42">
                <c:v>6.2080538113439978</c:v>
              </c:pt>
              <c:pt idx="43">
                <c:v>6.0265626113837243</c:v>
              </c:pt>
              <c:pt idx="44">
                <c:v>3.9796576917938147</c:v>
              </c:pt>
              <c:pt idx="45">
                <c:v>3.9866060995284336</c:v>
              </c:pt>
              <c:pt idx="46">
                <c:v>6.251767776947986</c:v>
              </c:pt>
              <c:pt idx="47">
                <c:v>6.4045576283152847</c:v>
              </c:pt>
              <c:pt idx="48">
                <c:v>5.6153512462980935</c:v>
              </c:pt>
              <c:pt idx="49">
                <c:v>3.9381177786740622</c:v>
              </c:pt>
              <c:pt idx="50">
                <c:v>6.4999535050057098</c:v>
              </c:pt>
              <c:pt idx="51">
                <c:v>6.174250001867378</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'Log-log price-demand model'!$CG$52:$CG$66</c:f>
                <c:numCache>
                  <c:formatCode>General</c:formatCode>
                  <c:ptCount val="15"/>
                  <c:pt idx="0">
                    <c:v>0.73984414673166543</c:v>
                  </c:pt>
                  <c:pt idx="1">
                    <c:v>0.73464094437918992</c:v>
                  </c:pt>
                  <c:pt idx="2">
                    <c:v>0.73043519161393089</c:v>
                  </c:pt>
                  <c:pt idx="3">
                    <c:v>0.72714210484567054</c:v>
                  </c:pt>
                  <c:pt idx="4">
                    <c:v>0.72468406314918732</c:v>
                  </c:pt>
                  <c:pt idx="5">
                    <c:v>0.72298989627099408</c:v>
                  </c:pt>
                  <c:pt idx="6">
                    <c:v>0.72199427876419797</c:v>
                  </c:pt>
                  <c:pt idx="7">
                    <c:v>0.72163720698936729</c:v>
                  </c:pt>
                  <c:pt idx="8">
                    <c:v>0.72186354146014398</c:v>
                  </c:pt>
                  <c:pt idx="9">
                    <c:v>0.72262260136952561</c:v>
                  </c:pt>
                  <c:pt idx="10">
                    <c:v>0.72386780142762597</c:v>
                  </c:pt>
                  <c:pt idx="11">
                    <c:v>0.72555632361923139</c:v>
                  </c:pt>
                  <c:pt idx="12">
                    <c:v>0.72764881833885642</c:v>
                  </c:pt>
                  <c:pt idx="13">
                    <c:v>0.73010913072976946</c:v>
                  </c:pt>
                  <c:pt idx="14">
                    <c:v>0.73290404905699824</c:v>
                  </c:pt>
                </c:numCache>
              </c:numRef>
            </c:plus>
            <c:minus>
              <c:numRef>
                <c:f>'Log-log price-demand model'!$CG$52:$CG$66</c:f>
                <c:numCache>
                  <c:formatCode>General</c:formatCode>
                  <c:ptCount val="15"/>
                  <c:pt idx="0">
                    <c:v>0.73984414673166543</c:v>
                  </c:pt>
                  <c:pt idx="1">
                    <c:v>0.73464094437918992</c:v>
                  </c:pt>
                  <c:pt idx="2">
                    <c:v>0.73043519161393089</c:v>
                  </c:pt>
                  <c:pt idx="3">
                    <c:v>0.72714210484567054</c:v>
                  </c:pt>
                  <c:pt idx="4">
                    <c:v>0.72468406314918732</c:v>
                  </c:pt>
                  <c:pt idx="5">
                    <c:v>0.72298989627099408</c:v>
                  </c:pt>
                  <c:pt idx="6">
                    <c:v>0.72199427876419797</c:v>
                  </c:pt>
                  <c:pt idx="7">
                    <c:v>0.72163720698936729</c:v>
                  </c:pt>
                  <c:pt idx="8">
                    <c:v>0.72186354146014398</c:v>
                  </c:pt>
                  <c:pt idx="9">
                    <c:v>0.72262260136952561</c:v>
                  </c:pt>
                  <c:pt idx="10">
                    <c:v>0.72386780142762597</c:v>
                  </c:pt>
                  <c:pt idx="11">
                    <c:v>0.72555632361923139</c:v>
                  </c:pt>
                  <c:pt idx="12">
                    <c:v>0.72764881833885642</c:v>
                  </c:pt>
                  <c:pt idx="13">
                    <c:v>0.73010913072976946</c:v>
                  </c:pt>
                  <c:pt idx="14">
                    <c:v>0.73290404905699824</c:v>
                  </c:pt>
                </c:numCache>
              </c:numRef>
            </c:minus>
          </c:errBars>
          <c:xVal>
            <c:numRef>
              <c:f>'Log-log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xVal>
          <c:yVal>
            <c:numRef>
              <c:f>'Log-log price-demand model'!$B$52:$B$66</c:f>
              <c:numCache>
                <c:formatCode>#,##0.000</c:formatCode>
                <c:ptCount val="15"/>
                <c:pt idx="0">
                  <c:v>6.632734336290472</c:v>
                </c:pt>
                <c:pt idx="1">
                  <c:v>6.379677403613222</c:v>
                </c:pt>
                <c:pt idx="2">
                  <c:v>6.13582460809004</c:v>
                </c:pt>
                <c:pt idx="3">
                  <c:v>5.9005298390813437</c:v>
                </c:pt>
                <c:pt idx="4">
                  <c:v>5.6732127186804213</c:v>
                </c:pt>
                <c:pt idx="5">
                  <c:v>5.4533499768836933</c:v>
                </c:pt>
                <c:pt idx="6">
                  <c:v>5.2404681965336515</c:v>
                </c:pt>
                <c:pt idx="7">
                  <c:v>5.0341376749987283</c:v>
                </c:pt>
                <c:pt idx="8">
                  <c:v>4.8339672024628548</c:v>
                </c:pt>
                <c:pt idx="9">
                  <c:v>4.6395995973284272</c:v>
                </c:pt>
                <c:pt idx="10">
                  <c:v>4.4507078707048464</c:v>
                </c:pt>
                <c:pt idx="11">
                  <c:v>4.2669919165218673</c:v>
                </c:pt>
                <c:pt idx="12">
                  <c:v>4.0881756431297021</c:v>
                </c:pt>
                <c:pt idx="13">
                  <c:v>3.9140044775532878</c:v>
                </c:pt>
                <c:pt idx="14">
                  <c:v>3.7442431857720422</c:v>
                </c:pt>
              </c:numCache>
            </c:numRef>
          </c:yVal>
          <c:smooth val="0"/>
        </c:ser>
        <c:dLbls>
          <c:showLegendKey val="0"/>
          <c:showVal val="0"/>
          <c:showCatName val="0"/>
          <c:showSerName val="0"/>
          <c:showPercent val="0"/>
          <c:showBubbleSize val="0"/>
        </c:dLbls>
        <c:axId val="343379328"/>
        <c:axId val="343385600"/>
      </c:scatterChart>
      <c:valAx>
        <c:axId val="343379328"/>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343385600"/>
        <c:crossesAt val="3"/>
        <c:crossBetween val="midCat"/>
      </c:valAx>
      <c:valAx>
        <c:axId val="343385600"/>
        <c:scaling>
          <c:orientation val="minMax"/>
          <c:min val="3"/>
        </c:scaling>
        <c:delete val="0"/>
        <c:axPos val="l"/>
        <c:majorGridlines>
          <c:spPr>
            <a:ln w="3175">
              <a:solidFill>
                <a:srgbClr val="C0C0C0"/>
              </a:solidFill>
              <a:prstDash val="solid"/>
            </a:ln>
          </c:spPr>
        </c:majorGridlines>
        <c:title>
          <c:tx>
            <c:rich>
              <a:bodyPr/>
              <a:lstStyle/>
              <a:p>
                <a:pPr>
                  <a:defRPr/>
                </a:pPr>
                <a:r>
                  <a:rPr lang="en-US"/>
                  <a:t>CASES_18PK_LN</a:t>
                </a:r>
              </a:p>
            </c:rich>
          </c:tx>
          <c:layout>
            <c:manualLayout>
              <c:xMode val="edge"/>
              <c:yMode val="edge"/>
              <c:x val="2.7883396704689482E-2"/>
              <c:y val="0.32619753086419756"/>
            </c:manualLayout>
          </c:layout>
          <c:overlay val="0"/>
        </c:title>
        <c:numFmt formatCode="General" sourceLinked="1"/>
        <c:majorTickMark val="out"/>
        <c:minorTickMark val="none"/>
        <c:tickLblPos val="nextTo"/>
        <c:crossAx val="343379328"/>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Log-log price-demand model for CASES_18PK_LN    (1 variable,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cat>
          <c:val>
            <c:numLit>
              <c:formatCode>General</c:formatCode>
              <c:ptCount val="52"/>
              <c:pt idx="0">
                <c:v>-3.6010585729009392E-3</c:v>
              </c:pt>
              <c:pt idx="1">
                <c:v>0.37212293201976543</c:v>
              </c:pt>
              <c:pt idx="2">
                <c:v>3.5650695398552479E-2</c:v>
              </c:pt>
              <c:pt idx="3">
                <c:v>-0.26160082806937934</c:v>
              </c:pt>
              <c:pt idx="4">
                <c:v>-5.3961463291135381E-2</c:v>
              </c:pt>
              <c:pt idx="5">
                <c:v>6.3821572365248436E-2</c:v>
              </c:pt>
              <c:pt idx="6">
                <c:v>-0.36269694494074844</c:v>
              </c:pt>
              <c:pt idx="7">
                <c:v>0.2585075042808942</c:v>
              </c:pt>
              <c:pt idx="8">
                <c:v>-9.9450264013092315E-2</c:v>
              </c:pt>
              <c:pt idx="9">
                <c:v>-3.3852981527279447E-2</c:v>
              </c:pt>
              <c:pt idx="10">
                <c:v>-0.13393644008426175</c:v>
              </c:pt>
              <c:pt idx="11">
                <c:v>-0.1880036613545375</c:v>
              </c:pt>
              <c:pt idx="12">
                <c:v>-0.19696329986572447</c:v>
              </c:pt>
              <c:pt idx="13">
                <c:v>-6.7569696160554749E-2</c:v>
              </c:pt>
              <c:pt idx="14">
                <c:v>9.747222128817512E-4</c:v>
              </c:pt>
              <c:pt idx="15">
                <c:v>-0.48095983856079405</c:v>
              </c:pt>
              <c:pt idx="16">
                <c:v>-7.5885368312488488E-2</c:v>
              </c:pt>
              <c:pt idx="17">
                <c:v>-0.89862152661546357</c:v>
              </c:pt>
              <c:pt idx="18">
                <c:v>-6.2538683509443693E-2</c:v>
              </c:pt>
              <c:pt idx="19">
                <c:v>0.32313486617753107</c:v>
              </c:pt>
              <c:pt idx="20">
                <c:v>-9.5875103777035342E-2</c:v>
              </c:pt>
              <c:pt idx="21">
                <c:v>0.24542806011384322</c:v>
              </c:pt>
              <c:pt idx="22">
                <c:v>-0.46699270871137788</c:v>
              </c:pt>
              <c:pt idx="23">
                <c:v>-0.32684010620875359</c:v>
              </c:pt>
              <c:pt idx="24">
                <c:v>0.25382909092450134</c:v>
              </c:pt>
              <c:pt idx="25">
                <c:v>0.26566354857150465</c:v>
              </c:pt>
              <c:pt idx="26">
                <c:v>0.57660248318755247</c:v>
              </c:pt>
              <c:pt idx="27">
                <c:v>6.1784480102103245E-2</c:v>
              </c:pt>
              <c:pt idx="28">
                <c:v>0.40657539429585032</c:v>
              </c:pt>
              <c:pt idx="29">
                <c:v>0.19363660087930068</c:v>
              </c:pt>
              <c:pt idx="30">
                <c:v>0.15794225028632702</c:v>
              </c:pt>
              <c:pt idx="31">
                <c:v>0.35709442679053804</c:v>
              </c:pt>
              <c:pt idx="32">
                <c:v>-0.46914641403910817</c:v>
              </c:pt>
              <c:pt idx="33">
                <c:v>-0.41578759222524964</c:v>
              </c:pt>
              <c:pt idx="34">
                <c:v>-0.22611732037599541</c:v>
              </c:pt>
              <c:pt idx="35">
                <c:v>4.3453383805146295E-2</c:v>
              </c:pt>
              <c:pt idx="36">
                <c:v>-0.11884768723965244</c:v>
              </c:pt>
              <c:pt idx="37">
                <c:v>0.39660296543170404</c:v>
              </c:pt>
              <c:pt idx="38">
                <c:v>0.52690441075265237</c:v>
              </c:pt>
              <c:pt idx="39">
                <c:v>0.46847432810616407</c:v>
              </c:pt>
              <c:pt idx="40">
                <c:v>-0.69065460474865947</c:v>
              </c:pt>
              <c:pt idx="41">
                <c:v>-0.4482685747535613</c:v>
              </c:pt>
              <c:pt idx="42">
                <c:v>-7.6827321860856834E-2</c:v>
              </c:pt>
              <c:pt idx="43">
                <c:v>0.59484304038041014</c:v>
              </c:pt>
              <c:pt idx="44">
                <c:v>0.26883755025554468</c:v>
              </c:pt>
              <c:pt idx="45">
                <c:v>0.39542053514544762</c:v>
              </c:pt>
              <c:pt idx="46">
                <c:v>7.8136871169371958E-3</c:v>
              </c:pt>
              <c:pt idx="47">
                <c:v>0.20344299698080182</c:v>
              </c:pt>
              <c:pt idx="48">
                <c:v>-0.74781679584251126</c:v>
              </c:pt>
              <c:pt idx="49">
                <c:v>0.29598872592319747</c:v>
              </c:pt>
              <c:pt idx="50">
                <c:v>-0.29944433096301992</c:v>
              </c:pt>
              <c:pt idx="51">
                <c:v>0.52771036413516192</c:v>
              </c:pt>
            </c:numLit>
          </c:val>
        </c:ser>
        <c:dLbls>
          <c:showLegendKey val="0"/>
          <c:showVal val="0"/>
          <c:showCatName val="0"/>
          <c:showSerName val="0"/>
          <c:showPercent val="0"/>
          <c:showBubbleSize val="0"/>
        </c:dLbls>
        <c:gapWidth val="25"/>
        <c:axId val="343394176"/>
        <c:axId val="343412736"/>
      </c:barChart>
      <c:catAx>
        <c:axId val="343394176"/>
        <c:scaling>
          <c:orientation val="minMax"/>
        </c:scaling>
        <c:delete val="0"/>
        <c:axPos val="b"/>
        <c:title>
          <c:tx>
            <c:rich>
              <a:bodyPr/>
              <a:lstStyle/>
              <a:p>
                <a:pPr>
                  <a:defRPr/>
                </a:pPr>
                <a:r>
                  <a:rPr lang="en-US"/>
                  <a:t>Observation #</a:t>
                </a:r>
              </a:p>
            </c:rich>
          </c:tx>
          <c:overlay val="0"/>
        </c:title>
        <c:numFmt formatCode="General" sourceLinked="1"/>
        <c:majorTickMark val="none"/>
        <c:minorTickMark val="none"/>
        <c:tickLblPos val="low"/>
        <c:txPr>
          <a:bodyPr rot="-5400000" vert="horz"/>
          <a:lstStyle/>
          <a:p>
            <a:pPr>
              <a:defRPr/>
            </a:pPr>
            <a:endParaRPr lang="en-US"/>
          </a:p>
        </c:txPr>
        <c:crossAx val="343412736"/>
        <c:crossesAt val="0"/>
        <c:auto val="1"/>
        <c:lblAlgn val="ctr"/>
        <c:lblOffset val="100"/>
        <c:noMultiLvlLbl val="0"/>
      </c:catAx>
      <c:valAx>
        <c:axId val="343412736"/>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34339417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Log-log price-demand model for CASES_18PK_LN    (1 variable, n=52)</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6.0881004716480724</c:v>
              </c:pt>
              <c:pt idx="1">
                <c:v>4.2128445466508069</c:v>
              </c:pt>
              <c:pt idx="2">
                <c:v>4.2128445466508069</c:v>
              </c:pt>
              <c:pt idx="3">
                <c:v>4.2128445466508069</c:v>
              </c:pt>
              <c:pt idx="4">
                <c:v>4.2128445466508069</c:v>
              </c:pt>
              <c:pt idx="5">
                <c:v>4.2128445466508069</c:v>
              </c:pt>
              <c:pt idx="6">
                <c:v>4.2128445466508069</c:v>
              </c:pt>
              <c:pt idx="7">
                <c:v>4.1841437522094225</c:v>
              </c:pt>
              <c:pt idx="8">
                <c:v>4.176987707918812</c:v>
              </c:pt>
              <c:pt idx="9">
                <c:v>4.176987707918812</c:v>
              </c:pt>
              <c:pt idx="10">
                <c:v>4.176987707918812</c:v>
              </c:pt>
              <c:pt idx="11">
                <c:v>4.176987707918812</c:v>
              </c:pt>
              <c:pt idx="12">
                <c:v>6.1983781778268749</c:v>
              </c:pt>
              <c:pt idx="13">
                <c:v>6.0077409488809863</c:v>
              </c:pt>
              <c:pt idx="14">
                <c:v>4.173412547682755</c:v>
              </c:pt>
              <c:pt idx="15">
                <c:v>4.1698392926747303</c:v>
              </c:pt>
              <c:pt idx="16">
                <c:v>6.1983781778268749</c:v>
              </c:pt>
              <c:pt idx="17">
                <c:v>6.0691055216536149</c:v>
              </c:pt>
              <c:pt idx="18">
                <c:v>4.173412547682755</c:v>
              </c:pt>
              <c:pt idx="19">
                <c:v>4.1877246403393187</c:v>
              </c:pt>
              <c:pt idx="20">
                <c:v>4.173412547682755</c:v>
              </c:pt>
              <c:pt idx="21">
                <c:v>4.173412547682755</c:v>
              </c:pt>
              <c:pt idx="22">
                <c:v>4.1805647754156858</c:v>
              </c:pt>
              <c:pt idx="23">
                <c:v>4.176987707918812</c:v>
              </c:pt>
              <c:pt idx="24">
                <c:v>4.176987707918812</c:v>
              </c:pt>
              <c:pt idx="25">
                <c:v>4.176987707918812</c:v>
              </c:pt>
              <c:pt idx="26">
                <c:v>4.176987707918812</c:v>
              </c:pt>
              <c:pt idx="27">
                <c:v>6.237164766753839</c:v>
              </c:pt>
              <c:pt idx="28">
                <c:v>6.3846460684303352</c:v>
              </c:pt>
              <c:pt idx="29">
                <c:v>5.7225654617281343</c:v>
              </c:pt>
              <c:pt idx="30">
                <c:v>6.1646229896409572</c:v>
              </c:pt>
              <c:pt idx="31">
                <c:v>6.2957686025628092</c:v>
              </c:pt>
              <c:pt idx="32">
                <c:v>5.9329782190647187</c:v>
              </c:pt>
              <c:pt idx="33">
                <c:v>4.176987707918812</c:v>
              </c:pt>
              <c:pt idx="34">
                <c:v>4.369252046767528</c:v>
              </c:pt>
              <c:pt idx="35">
                <c:v>6.1071493846411329</c:v>
              </c:pt>
              <c:pt idx="36">
                <c:v>5.9329782190647187</c:v>
              </c:pt>
              <c:pt idx="37">
                <c:v>3.9208851481046061</c:v>
              </c:pt>
              <c:pt idx="38">
                <c:v>5.6064936322439962</c:v>
              </c:pt>
              <c:pt idx="39">
                <c:v>6.237164766753839</c:v>
              </c:pt>
              <c:pt idx="40">
                <c:v>5.9889719712966958</c:v>
              </c:pt>
              <c:pt idx="41">
                <c:v>3.9140044775532878</c:v>
              </c:pt>
              <c:pt idx="42">
                <c:v>6.2080538113439978</c:v>
              </c:pt>
              <c:pt idx="43">
                <c:v>6.0265626113837243</c:v>
              </c:pt>
              <c:pt idx="44">
                <c:v>3.9796576917938147</c:v>
              </c:pt>
              <c:pt idx="45">
                <c:v>3.9866060995284336</c:v>
              </c:pt>
              <c:pt idx="46">
                <c:v>6.251767776947986</c:v>
              </c:pt>
              <c:pt idx="47">
                <c:v>6.4045576283152847</c:v>
              </c:pt>
              <c:pt idx="48">
                <c:v>5.6153512462980935</c:v>
              </c:pt>
              <c:pt idx="49">
                <c:v>3.9381177786740622</c:v>
              </c:pt>
              <c:pt idx="50">
                <c:v>6.4999535050057098</c:v>
              </c:pt>
              <c:pt idx="51">
                <c:v>6.174250001867378</c:v>
              </c:pt>
            </c:numLit>
          </c:xVal>
          <c:yVal>
            <c:numLit>
              <c:formatCode>General</c:formatCode>
              <c:ptCount val="52"/>
              <c:pt idx="0">
                <c:v>-3.6010585729009392E-3</c:v>
              </c:pt>
              <c:pt idx="1">
                <c:v>0.37212293201976543</c:v>
              </c:pt>
              <c:pt idx="2">
                <c:v>3.5650695398552479E-2</c:v>
              </c:pt>
              <c:pt idx="3">
                <c:v>-0.26160082806937934</c:v>
              </c:pt>
              <c:pt idx="4">
                <c:v>-5.3961463291135381E-2</c:v>
              </c:pt>
              <c:pt idx="5">
                <c:v>6.3821572365248436E-2</c:v>
              </c:pt>
              <c:pt idx="6">
                <c:v>-0.36269694494074844</c:v>
              </c:pt>
              <c:pt idx="7">
                <c:v>0.2585075042808942</c:v>
              </c:pt>
              <c:pt idx="8">
                <c:v>-9.9450264013092315E-2</c:v>
              </c:pt>
              <c:pt idx="9">
                <c:v>-3.3852981527279447E-2</c:v>
              </c:pt>
              <c:pt idx="10">
                <c:v>-0.13393644008426175</c:v>
              </c:pt>
              <c:pt idx="11">
                <c:v>-0.1880036613545375</c:v>
              </c:pt>
              <c:pt idx="12">
                <c:v>-0.19696329986572447</c:v>
              </c:pt>
              <c:pt idx="13">
                <c:v>-6.7569696160554749E-2</c:v>
              </c:pt>
              <c:pt idx="14">
                <c:v>9.747222128817512E-4</c:v>
              </c:pt>
              <c:pt idx="15">
                <c:v>-0.48095983856079405</c:v>
              </c:pt>
              <c:pt idx="16">
                <c:v>-7.5885368312488488E-2</c:v>
              </c:pt>
              <c:pt idx="17">
                <c:v>-0.89862152661546357</c:v>
              </c:pt>
              <c:pt idx="18">
                <c:v>-6.2538683509443693E-2</c:v>
              </c:pt>
              <c:pt idx="19">
                <c:v>0.32313486617753107</c:v>
              </c:pt>
              <c:pt idx="20">
                <c:v>-9.5875103777035342E-2</c:v>
              </c:pt>
              <c:pt idx="21">
                <c:v>0.24542806011384322</c:v>
              </c:pt>
              <c:pt idx="22">
                <c:v>-0.46699270871137788</c:v>
              </c:pt>
              <c:pt idx="23">
                <c:v>-0.32684010620875359</c:v>
              </c:pt>
              <c:pt idx="24">
                <c:v>0.25382909092450134</c:v>
              </c:pt>
              <c:pt idx="25">
                <c:v>0.26566354857150465</c:v>
              </c:pt>
              <c:pt idx="26">
                <c:v>0.57660248318755247</c:v>
              </c:pt>
              <c:pt idx="27">
                <c:v>6.1784480102103245E-2</c:v>
              </c:pt>
              <c:pt idx="28">
                <c:v>0.40657539429585032</c:v>
              </c:pt>
              <c:pt idx="29">
                <c:v>0.19363660087930068</c:v>
              </c:pt>
              <c:pt idx="30">
                <c:v>0.15794225028632702</c:v>
              </c:pt>
              <c:pt idx="31">
                <c:v>0.35709442679053804</c:v>
              </c:pt>
              <c:pt idx="32">
                <c:v>-0.46914641403910817</c:v>
              </c:pt>
              <c:pt idx="33">
                <c:v>-0.41578759222524964</c:v>
              </c:pt>
              <c:pt idx="34">
                <c:v>-0.22611732037599541</c:v>
              </c:pt>
              <c:pt idx="35">
                <c:v>4.3453383805146295E-2</c:v>
              </c:pt>
              <c:pt idx="36">
                <c:v>-0.11884768723965244</c:v>
              </c:pt>
              <c:pt idx="37">
                <c:v>0.39660296543170404</c:v>
              </c:pt>
              <c:pt idx="38">
                <c:v>0.52690441075265237</c:v>
              </c:pt>
              <c:pt idx="39">
                <c:v>0.46847432810616407</c:v>
              </c:pt>
              <c:pt idx="40">
                <c:v>-0.69065460474865947</c:v>
              </c:pt>
              <c:pt idx="41">
                <c:v>-0.4482685747535613</c:v>
              </c:pt>
              <c:pt idx="42">
                <c:v>-7.6827321860856834E-2</c:v>
              </c:pt>
              <c:pt idx="43">
                <c:v>0.59484304038041014</c:v>
              </c:pt>
              <c:pt idx="44">
                <c:v>0.26883755025554468</c:v>
              </c:pt>
              <c:pt idx="45">
                <c:v>0.39542053514544762</c:v>
              </c:pt>
              <c:pt idx="46">
                <c:v>7.8136871169371958E-3</c:v>
              </c:pt>
              <c:pt idx="47">
                <c:v>0.20344299698080182</c:v>
              </c:pt>
              <c:pt idx="48">
                <c:v>-0.74781679584251126</c:v>
              </c:pt>
              <c:pt idx="49">
                <c:v>0.29598872592319747</c:v>
              </c:pt>
              <c:pt idx="50">
                <c:v>-0.29944433096301992</c:v>
              </c:pt>
              <c:pt idx="51">
                <c:v>0.52771036413516192</c:v>
              </c:pt>
            </c:numLit>
          </c:yVal>
          <c:smooth val="0"/>
        </c:ser>
        <c:dLbls>
          <c:showLegendKey val="0"/>
          <c:showVal val="0"/>
          <c:showCatName val="0"/>
          <c:showSerName val="0"/>
          <c:showPercent val="0"/>
          <c:showBubbleSize val="0"/>
        </c:dLbls>
        <c:axId val="343514496"/>
        <c:axId val="343648128"/>
      </c:scatterChart>
      <c:valAx>
        <c:axId val="343514496"/>
        <c:scaling>
          <c:orientation val="minMax"/>
          <c:min val="3.5"/>
        </c:scaling>
        <c:delete val="0"/>
        <c:axPos val="b"/>
        <c:title>
          <c:tx>
            <c:rich>
              <a:bodyPr/>
              <a:lstStyle/>
              <a:p>
                <a:pPr>
                  <a:defRPr/>
                </a:pPr>
                <a:r>
                  <a:rPr lang="en-US"/>
                  <a:t>Predicted</a:t>
                </a:r>
              </a:p>
            </c:rich>
          </c:tx>
          <c:overlay val="0"/>
        </c:title>
        <c:numFmt formatCode="General" sourceLinked="1"/>
        <c:majorTickMark val="out"/>
        <c:minorTickMark val="none"/>
        <c:tickLblPos val="nextTo"/>
        <c:crossAx val="343648128"/>
        <c:crossesAt val="-1"/>
        <c:crossBetween val="midCat"/>
      </c:valAx>
      <c:valAx>
        <c:axId val="343648128"/>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343514496"/>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Log-log price-demand model for CASES_18PK_LN    (1 variable,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-0.900</c:v>
              </c:pt>
              <c:pt idx="1">
                <c:v>-0.810</c:v>
              </c:pt>
              <c:pt idx="2">
                <c:v>-0.720</c:v>
              </c:pt>
              <c:pt idx="3">
                <c:v>-0.630</c:v>
              </c:pt>
              <c:pt idx="4">
                <c:v>-0.540</c:v>
              </c:pt>
              <c:pt idx="5">
                <c:v>-0.450</c:v>
              </c:pt>
              <c:pt idx="6">
                <c:v>-0.360</c:v>
              </c:pt>
              <c:pt idx="7">
                <c:v>-0.270</c:v>
              </c:pt>
              <c:pt idx="8">
                <c:v>-0.180</c:v>
              </c:pt>
              <c:pt idx="9">
                <c:v>-0.090</c:v>
              </c:pt>
              <c:pt idx="10">
                <c:v>0.000</c:v>
              </c:pt>
              <c:pt idx="11">
                <c:v>0.090</c:v>
              </c:pt>
              <c:pt idx="12">
                <c:v>0.180</c:v>
              </c:pt>
              <c:pt idx="13">
                <c:v>0.270</c:v>
              </c:pt>
              <c:pt idx="14">
                <c:v>0.360</c:v>
              </c:pt>
              <c:pt idx="15">
                <c:v>0.450</c:v>
              </c:pt>
              <c:pt idx="16">
                <c:v>0.540</c:v>
              </c:pt>
              <c:pt idx="17">
                <c:v>0.630</c:v>
              </c:pt>
              <c:pt idx="18">
                <c:v>0.720</c:v>
              </c:pt>
              <c:pt idx="19">
                <c:v>0.810</c:v>
              </c:pt>
              <c:pt idx="20">
                <c:v>0.900</c:v>
              </c:pt>
            </c:strLit>
          </c:cat>
          <c:val>
            <c:numLit>
              <c:formatCode>General</c:formatCode>
              <c:ptCount val="21"/>
              <c:pt idx="0">
                <c:v>1</c:v>
              </c:pt>
              <c:pt idx="1">
                <c:v>0</c:v>
              </c:pt>
              <c:pt idx="2">
                <c:v>2</c:v>
              </c:pt>
              <c:pt idx="3">
                <c:v>0</c:v>
              </c:pt>
              <c:pt idx="4">
                <c:v>0</c:v>
              </c:pt>
              <c:pt idx="5">
                <c:v>5</c:v>
              </c:pt>
              <c:pt idx="6">
                <c:v>2</c:v>
              </c:pt>
              <c:pt idx="7">
                <c:v>3</c:v>
              </c:pt>
              <c:pt idx="8">
                <c:v>2</c:v>
              </c:pt>
              <c:pt idx="9">
                <c:v>9</c:v>
              </c:pt>
              <c:pt idx="10">
                <c:v>6</c:v>
              </c:pt>
              <c:pt idx="11">
                <c:v>2</c:v>
              </c:pt>
              <c:pt idx="12">
                <c:v>3</c:v>
              </c:pt>
              <c:pt idx="13">
                <c:v>6</c:v>
              </c:pt>
              <c:pt idx="14">
                <c:v>5</c:v>
              </c:pt>
              <c:pt idx="15">
                <c:v>2</c:v>
              </c:pt>
              <c:pt idx="16">
                <c:v>3</c:v>
              </c:pt>
              <c:pt idx="17">
                <c:v>1</c:v>
              </c:pt>
              <c:pt idx="18">
                <c:v>0</c:v>
              </c:pt>
              <c:pt idx="19">
                <c:v>0</c:v>
              </c:pt>
              <c:pt idx="20">
                <c:v>0</c:v>
              </c:pt>
            </c:numLit>
          </c:val>
        </c:ser>
        <c:ser>
          <c:idx val="1"/>
          <c:order val="1"/>
          <c:tx>
            <c:v>Theoretical</c:v>
          </c:tx>
          <c:spPr>
            <a:solidFill>
              <a:srgbClr val="FFD2D2"/>
            </a:solidFill>
            <a:ln w="9525">
              <a:solidFill>
                <a:srgbClr val="FF0000"/>
              </a:solidFill>
              <a:prstDash val="solid"/>
            </a:ln>
          </c:spPr>
          <c:invertIfNegative val="0"/>
          <c:cat>
            <c:strLit>
              <c:ptCount val="21"/>
              <c:pt idx="0">
                <c:v>-0.900</c:v>
              </c:pt>
              <c:pt idx="1">
                <c:v>-0.810</c:v>
              </c:pt>
              <c:pt idx="2">
                <c:v>-0.720</c:v>
              </c:pt>
              <c:pt idx="3">
                <c:v>-0.630</c:v>
              </c:pt>
              <c:pt idx="4">
                <c:v>-0.540</c:v>
              </c:pt>
              <c:pt idx="5">
                <c:v>-0.450</c:v>
              </c:pt>
              <c:pt idx="6">
                <c:v>-0.360</c:v>
              </c:pt>
              <c:pt idx="7">
                <c:v>-0.270</c:v>
              </c:pt>
              <c:pt idx="8">
                <c:v>-0.180</c:v>
              </c:pt>
              <c:pt idx="9">
                <c:v>-0.090</c:v>
              </c:pt>
              <c:pt idx="10">
                <c:v>0.000</c:v>
              </c:pt>
              <c:pt idx="11">
                <c:v>0.090</c:v>
              </c:pt>
              <c:pt idx="12">
                <c:v>0.180</c:v>
              </c:pt>
              <c:pt idx="13">
                <c:v>0.270</c:v>
              </c:pt>
              <c:pt idx="14">
                <c:v>0.360</c:v>
              </c:pt>
              <c:pt idx="15">
                <c:v>0.450</c:v>
              </c:pt>
              <c:pt idx="16">
                <c:v>0.540</c:v>
              </c:pt>
              <c:pt idx="17">
                <c:v>0.630</c:v>
              </c:pt>
              <c:pt idx="18">
                <c:v>0.720</c:v>
              </c:pt>
              <c:pt idx="19">
                <c:v>0.810</c:v>
              </c:pt>
              <c:pt idx="20">
                <c:v>0.900</c:v>
              </c:pt>
            </c:strLit>
          </c:cat>
          <c:val>
            <c:numLit>
              <c:formatCode>General</c:formatCode>
              <c:ptCount val="21"/>
              <c:pt idx="0">
                <c:v>0.20608173821788583</c:v>
              </c:pt>
              <c:pt idx="1">
                <c:v>0.38171779527829358</c:v>
              </c:pt>
              <c:pt idx="2">
                <c:v>0.66261981393724645</c:v>
              </c:pt>
              <c:pt idx="3">
                <c:v>1.0779685327108499</c:v>
              </c:pt>
              <c:pt idx="4">
                <c:v>1.6434930874158362</c:v>
              </c:pt>
              <c:pt idx="5">
                <c:v>2.3482818995530197</c:v>
              </c:pt>
              <c:pt idx="6">
                <c:v>3.1445136514268253</c:v>
              </c:pt>
              <c:pt idx="7">
                <c:v>3.9461894805775746</c:v>
              </c:pt>
              <c:pt idx="8">
                <c:v>4.6411307949098948</c:v>
              </c:pt>
              <c:pt idx="9">
                <c:v>5.1155374284867996</c:v>
              </c:pt>
              <c:pt idx="10">
                <c:v>5.28421413785345</c:v>
              </c:pt>
              <c:pt idx="11">
                <c:v>5.1155374284868067</c:v>
              </c:pt>
              <c:pt idx="12">
                <c:v>4.6411307949098912</c:v>
              </c:pt>
              <c:pt idx="13">
                <c:v>3.9461894805775728</c:v>
              </c:pt>
              <c:pt idx="14">
                <c:v>3.144513651426827</c:v>
              </c:pt>
              <c:pt idx="15">
                <c:v>2.3482818995530224</c:v>
              </c:pt>
              <c:pt idx="16">
                <c:v>1.643493087415834</c:v>
              </c:pt>
              <c:pt idx="17">
                <c:v>1.0779685327108481</c:v>
              </c:pt>
              <c:pt idx="18">
                <c:v>0.66261981393724056</c:v>
              </c:pt>
              <c:pt idx="19">
                <c:v>0.38171779527829841</c:v>
              </c:pt>
              <c:pt idx="20">
                <c:v>0.20608173821788256</c:v>
              </c:pt>
            </c:numLit>
          </c:val>
        </c:ser>
        <c:dLbls>
          <c:showLegendKey val="0"/>
          <c:showVal val="0"/>
          <c:showCatName val="0"/>
          <c:showSerName val="0"/>
          <c:showPercent val="0"/>
          <c:showBubbleSize val="0"/>
        </c:dLbls>
        <c:gapWidth val="50"/>
        <c:axId val="366218624"/>
        <c:axId val="366241280"/>
      </c:barChart>
      <c:catAx>
        <c:axId val="366218624"/>
        <c:scaling>
          <c:orientation val="minMax"/>
        </c:scaling>
        <c:delete val="0"/>
        <c:axPos val="b"/>
        <c:title>
          <c:tx>
            <c:rich>
              <a:bodyPr/>
              <a:lstStyle/>
              <a:p>
                <a:pPr>
                  <a:defRPr/>
                </a:pPr>
                <a:r>
                  <a:rPr lang="en-US"/>
                  <a:t>Residual Range
</a:t>
                </a:r>
                <a:r>
                  <a:rPr lang="en-US" sz="750"/>
                  <a:t>Adjusted Anderson-Darling statistic is 0.335 (P=0.508)</a:t>
                </a:r>
              </a:p>
            </c:rich>
          </c:tx>
          <c:overlay val="0"/>
        </c:title>
        <c:majorTickMark val="out"/>
        <c:minorTickMark val="none"/>
        <c:tickLblPos val="nextTo"/>
        <c:crossAx val="366241280"/>
        <c:crosses val="autoZero"/>
        <c:auto val="1"/>
        <c:lblAlgn val="ctr"/>
        <c:lblOffset val="100"/>
        <c:noMultiLvlLbl val="0"/>
      </c:catAx>
      <c:valAx>
        <c:axId val="366241280"/>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366218624"/>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Log-log price-demand model for CASES_18PK_LN    (1 variable, n=52)</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-2.5502368893288767</c:v>
              </c:pt>
              <c:pt idx="1">
                <c:v>-2.1222616226434785</c:v>
              </c:pt>
              <c:pt idx="2">
                <c:v>-1.9600385686827557</c:v>
              </c:pt>
              <c:pt idx="3">
                <c:v>-1.3649367239209995</c:v>
              </c:pt>
              <c:pt idx="4">
                <c:v>-1.3314108956248814</c:v>
              </c:pt>
              <c:pt idx="5">
                <c:v>-1.3252988021429808</c:v>
              </c:pt>
              <c:pt idx="6">
                <c:v>-1.2721607726993651</c:v>
              </c:pt>
              <c:pt idx="7">
                <c:v>-1.1799815878123405</c:v>
              </c:pt>
              <c:pt idx="8">
                <c:v>-1.0293133440932911</c:v>
              </c:pt>
              <c:pt idx="9">
                <c:v>-0.92755367090422447</c:v>
              </c:pt>
              <c:pt idx="10">
                <c:v>-0.84980601566323255</c:v>
              </c:pt>
              <c:pt idx="11">
                <c:v>-0.74240830234083111</c:v>
              </c:pt>
              <c:pt idx="12">
                <c:v>-0.64170812145013267</c:v>
              </c:pt>
              <c:pt idx="13">
                <c:v>-0.558970665941392</c:v>
              </c:pt>
              <c:pt idx="14">
                <c:v>-0.53354372037028031</c:v>
              </c:pt>
              <c:pt idx="15">
                <c:v>-0.38010401510716868</c:v>
              </c:pt>
              <c:pt idx="16">
                <c:v>-0.33728299092892761</c:v>
              </c:pt>
              <c:pt idx="17">
                <c:v>-0.28223420475460459</c:v>
              </c:pt>
              <c:pt idx="18">
                <c:v>-0.27208810292061658</c:v>
              </c:pt>
              <c:pt idx="19">
                <c:v>-0.21803157894050876</c:v>
              </c:pt>
              <c:pt idx="20">
                <c:v>-0.21535836823284771</c:v>
              </c:pt>
              <c:pt idx="21">
                <c:v>-0.19175896263959499</c:v>
              </c:pt>
              <c:pt idx="22">
                <c:v>-0.17748123428173204</c:v>
              </c:pt>
              <c:pt idx="23">
                <c:v>-0.15313957012083376</c:v>
              </c:pt>
              <c:pt idx="24">
                <c:v>-9.6072840175328411E-2</c:v>
              </c:pt>
              <c:pt idx="25">
                <c:v>-1.02195998440351E-2</c:v>
              </c:pt>
              <c:pt idx="26">
                <c:v>2.7662063176937708E-3</c:v>
              </c:pt>
              <c:pt idx="27">
                <c:v>2.2174800555177499E-2</c:v>
              </c:pt>
              <c:pt idx="28">
                <c:v>0.10117465010886736</c:v>
              </c:pt>
              <c:pt idx="29">
                <c:v>0.12331823694834591</c:v>
              </c:pt>
              <c:pt idx="30">
                <c:v>0.17534084781814335</c:v>
              </c:pt>
              <c:pt idx="31">
                <c:v>0.1811220000413778</c:v>
              </c:pt>
              <c:pt idx="32">
                <c:v>0.4482311419590182</c:v>
              </c:pt>
              <c:pt idx="33">
                <c:v>0.54952968303190808</c:v>
              </c:pt>
              <c:pt idx="34">
                <c:v>0.57735967858477522</c:v>
              </c:pt>
              <c:pt idx="35">
                <c:v>0.69651090480339883</c:v>
              </c:pt>
              <c:pt idx="36">
                <c:v>0.72035255342539628</c:v>
              </c:pt>
              <c:pt idx="37">
                <c:v>0.7336296249973836</c:v>
              </c:pt>
              <c:pt idx="38">
                <c:v>0.75393807253738498</c:v>
              </c:pt>
              <c:pt idx="39">
                <c:v>0.76294570916936899</c:v>
              </c:pt>
              <c:pt idx="40">
                <c:v>0.83999920469054479</c:v>
              </c:pt>
              <c:pt idx="41">
                <c:v>0.91703840999451636</c:v>
              </c:pt>
              <c:pt idx="42">
                <c:v>1.0134137155660132</c:v>
              </c:pt>
              <c:pt idx="43">
                <c:v>1.0560637604312841</c:v>
              </c:pt>
              <c:pt idx="44">
                <c:v>1.1221810357961808</c:v>
              </c:pt>
              <c:pt idx="45">
                <c:v>1.1255367058371915</c:v>
              </c:pt>
              <c:pt idx="46">
                <c:v>1.1538378929468975</c:v>
              </c:pt>
              <c:pt idx="47">
                <c:v>1.3295035538928748</c:v>
              </c:pt>
              <c:pt idx="48">
                <c:v>1.4953248121180562</c:v>
              </c:pt>
              <c:pt idx="49">
                <c:v>1.4976120620739932</c:v>
              </c:pt>
              <c:pt idx="50">
                <c:v>1.6363651209668515</c:v>
              </c:pt>
              <c:pt idx="51">
                <c:v>1.6881307869979576</c:v>
              </c:pt>
            </c:numLit>
          </c:yVal>
          <c:smooth val="0"/>
        </c:ser>
        <c:ser>
          <c:idx val="1"/>
          <c:order val="1"/>
          <c:tx>
            <c:v>Theoretical</c:v>
          </c:tx>
          <c:spPr>
            <a:ln w="12700">
              <a:solidFill>
                <a:srgbClr val="FF0000"/>
              </a:solidFill>
              <a:prstDash val="solid"/>
            </a:ln>
          </c:spPr>
          <c:marker>
            <c:symbol val="none"/>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yVal>
          <c:smooth val="0"/>
        </c:ser>
        <c:dLbls>
          <c:showLegendKey val="0"/>
          <c:showVal val="0"/>
          <c:showCatName val="0"/>
          <c:showSerName val="0"/>
          <c:showPercent val="0"/>
          <c:showBubbleSize val="0"/>
        </c:dLbls>
        <c:axId val="368875392"/>
        <c:axId val="368893952"/>
      </c:scatterChart>
      <c:valAx>
        <c:axId val="368875392"/>
        <c:scaling>
          <c:orientation val="minMax"/>
        </c:scaling>
        <c:delete val="0"/>
        <c:axPos val="b"/>
        <c:title>
          <c:tx>
            <c:rich>
              <a:bodyPr/>
              <a:lstStyle/>
              <a:p>
                <a:pPr>
                  <a:defRPr/>
                </a:pPr>
                <a:r>
                  <a:rPr lang="en-US"/>
                  <a:t>Theoretical Standardized Residual
</a:t>
                </a:r>
                <a:r>
                  <a:rPr lang="en-US" sz="750"/>
                  <a:t>Adjusted Anderson-Darling statistic is 0.335 (P=0.508)</a:t>
                </a:r>
              </a:p>
            </c:rich>
          </c:tx>
          <c:overlay val="0"/>
        </c:title>
        <c:numFmt formatCode="General" sourceLinked="1"/>
        <c:majorTickMark val="out"/>
        <c:minorTickMark val="none"/>
        <c:tickLblPos val="nextTo"/>
        <c:crossAx val="368893952"/>
        <c:crosses val="autoZero"/>
        <c:crossBetween val="midCat"/>
      </c:valAx>
      <c:valAx>
        <c:axId val="368893952"/>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368875392"/>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Unlogged forecasts from 18-pack log-log model</a:t>
            </a:r>
          </a:p>
        </c:rich>
      </c:tx>
      <c:layout/>
      <c:overlay val="1"/>
    </c:title>
    <c:autoTitleDeleted val="0"/>
    <c:plotArea>
      <c:layout>
        <c:manualLayout>
          <c:layoutTarget val="inner"/>
          <c:xMode val="edge"/>
          <c:yMode val="edge"/>
          <c:x val="0.12882159775413851"/>
          <c:y val="9.2801604392352841E-2"/>
          <c:w val="0.81267879336565529"/>
          <c:h val="0.77710825812744166"/>
        </c:manualLayout>
      </c:layout>
      <c:scatterChart>
        <c:scatterStyle val="smoothMarker"/>
        <c:varyColors val="0"/>
        <c:ser>
          <c:idx val="0"/>
          <c:order val="0"/>
          <c:tx>
            <c:strRef>
              <c:f>'Log-log price-demand model'!$O$51</c:f>
              <c:strCache>
                <c:ptCount val="1"/>
                <c:pt idx="0">
                  <c:v>Forecast</c:v>
                </c:pt>
              </c:strCache>
            </c:strRef>
          </c:tx>
          <c:spPr>
            <a:ln>
              <a:solidFill>
                <a:srgbClr val="FF0000"/>
              </a:solidFill>
            </a:ln>
          </c:spPr>
          <c:marker>
            <c:symbol val="none"/>
          </c:marker>
          <c:xVal>
            <c:numRef>
              <c:f>'Log-log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'Log-log price-demand model'!$O$52:$O$118</c:f>
              <c:numCache>
                <c:formatCode>#,##0</c:formatCode>
                <c:ptCount val="67"/>
                <c:pt idx="0">
                  <c:v>759.55621590676606</c:v>
                </c:pt>
                <c:pt idx="1">
                  <c:v>589.73742980464215</c:v>
                </c:pt>
                <c:pt idx="2">
                  <c:v>462.12000484080971</c:v>
                </c:pt>
                <c:pt idx="3">
                  <c:v>365.23093022939332</c:v>
                </c:pt>
                <c:pt idx="4">
                  <c:v>290.96783216718376</c:v>
                </c:pt>
                <c:pt idx="5">
                  <c:v>233.53920788880782</c:v>
                </c:pt>
                <c:pt idx="6">
                  <c:v>188.75845777584095</c:v>
                </c:pt>
                <c:pt idx="7">
                  <c:v>153.56711073987279</c:v>
                </c:pt>
                <c:pt idx="8">
                  <c:v>125.70868451912794</c:v>
                </c:pt>
                <c:pt idx="9">
                  <c:v>103.50289644900869</c:v>
                </c:pt>
                <c:pt idx="10">
                  <c:v>85.687578265482713</c:v>
                </c:pt>
                <c:pt idx="11">
                  <c:v>71.30681582869957</c:v>
                </c:pt>
                <c:pt idx="12">
                  <c:v>59.631004177338362</c:v>
                </c:pt>
                <c:pt idx="13">
                  <c:v>50.099171826914777</c:v>
                </c:pt>
                <c:pt idx="14">
                  <c:v>42.276999273765703</c:v>
                </c:pt>
              </c:numCache>
            </c:numRef>
          </c:yVal>
          <c:smooth val="1"/>
        </c:ser>
        <c:ser>
          <c:idx val="1"/>
          <c:order val="1"/>
          <c:tx>
            <c:strRef>
              <c:f>'Log-log price-demand model'!$P$51</c:f>
              <c:strCache>
                <c:ptCount val="1"/>
                <c:pt idx="0">
                  <c:v>Lower95%F</c:v>
                </c:pt>
              </c:strCache>
            </c:strRef>
          </c:tx>
          <c:spPr>
            <a:ln>
              <a:solidFill>
                <a:srgbClr val="FF0000"/>
              </a:solidFill>
              <a:prstDash val="dash"/>
            </a:ln>
          </c:spPr>
          <c:marker>
            <c:symbol val="none"/>
          </c:marker>
          <c:xVal>
            <c:numRef>
              <c:f>'Log-log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'Log-log price-demand model'!$P$52:$P$118</c:f>
              <c:numCache>
                <c:formatCode>#,##0</c:formatCode>
                <c:ptCount val="67"/>
                <c:pt idx="0">
                  <c:v>362.45132505145233</c:v>
                </c:pt>
                <c:pt idx="1">
                  <c:v>282.88386976397982</c:v>
                </c:pt>
                <c:pt idx="2">
                  <c:v>222.60288884022148</c:v>
                </c:pt>
                <c:pt idx="3">
                  <c:v>176.51180080718373</c:v>
                </c:pt>
                <c:pt idx="4">
                  <c:v>140.96739965589535</c:v>
                </c:pt>
                <c:pt idx="5">
                  <c:v>113.3363652298888</c:v>
                </c:pt>
                <c:pt idx="6">
                  <c:v>91.695556188772784</c:v>
                </c:pt>
                <c:pt idx="7">
                  <c:v>74.626857909260821</c:v>
                </c:pt>
                <c:pt idx="8">
                  <c:v>61.075063753715988</c:v>
                </c:pt>
                <c:pt idx="9">
                  <c:v>50.24831409152285</c:v>
                </c:pt>
                <c:pt idx="10">
                  <c:v>41.547612936964427</c:v>
                </c:pt>
                <c:pt idx="11">
                  <c:v>34.516435189327417</c:v>
                </c:pt>
                <c:pt idx="12">
                  <c:v>28.804361734546699</c:v>
                </c:pt>
                <c:pt idx="13">
                  <c:v>24.140606673683944</c:v>
                </c:pt>
                <c:pt idx="14">
                  <c:v>20.314585726022919</c:v>
                </c:pt>
              </c:numCache>
            </c:numRef>
          </c:yVal>
          <c:smooth val="1"/>
        </c:ser>
        <c:ser>
          <c:idx val="2"/>
          <c:order val="2"/>
          <c:tx>
            <c:strRef>
              <c:f>'Log-log price-demand model'!$Q$51</c:f>
              <c:strCache>
                <c:ptCount val="1"/>
                <c:pt idx="0">
                  <c:v>Upper95%F</c:v>
                </c:pt>
              </c:strCache>
            </c:strRef>
          </c:tx>
          <c:spPr>
            <a:ln>
              <a:solidFill>
                <a:srgbClr val="FF0000"/>
              </a:solidFill>
              <a:prstDash val="dash"/>
            </a:ln>
          </c:spPr>
          <c:marker>
            <c:symbol val="none"/>
          </c:marker>
          <c:xVal>
            <c:numRef>
              <c:f>'Log-log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'Log-log price-demand model'!$Q$52:$Q$118</c:f>
              <c:numCache>
                <c:formatCode>#,##0</c:formatCode>
                <c:ptCount val="67"/>
                <c:pt idx="0">
                  <c:v>1591.7327520894219</c:v>
                </c:pt>
                <c:pt idx="1">
                  <c:v>1229.4452716684025</c:v>
                </c:pt>
                <c:pt idx="2">
                  <c:v>959.35367230276199</c:v>
                </c:pt>
                <c:pt idx="3">
                  <c:v>755.72076080025499</c:v>
                </c:pt>
                <c:pt idx="4">
                  <c:v>600.58055665872371</c:v>
                </c:pt>
                <c:pt idx="5">
                  <c:v>481.22737579154773</c:v>
                </c:pt>
                <c:pt idx="6">
                  <c:v>388.5657807512863</c:v>
                </c:pt>
                <c:pt idx="7">
                  <c:v>316.01032338339729</c:v>
                </c:pt>
                <c:pt idx="8">
                  <c:v>258.74182345930268</c:v>
                </c:pt>
                <c:pt idx="9">
                  <c:v>213.19818917350565</c:v>
                </c:pt>
                <c:pt idx="10">
                  <c:v>176.72161046034037</c:v>
                </c:pt>
                <c:pt idx="11">
                  <c:v>147.3113302615987</c:v>
                </c:pt>
                <c:pt idx="12">
                  <c:v>123.44854893739948</c:v>
                </c:pt>
                <c:pt idx="13">
                  <c:v>103.97116574865714</c:v>
                </c:pt>
                <c:pt idx="14">
                  <c:v>87.983318572152953</c:v>
                </c:pt>
              </c:numCache>
            </c:numRef>
          </c:yVal>
          <c:smooth val="1"/>
        </c:ser>
        <c:ser>
          <c:idx val="3"/>
          <c:order val="3"/>
          <c:tx>
            <c:strRef>
              <c:f>'Log-log price-demand model'!$R$51</c:f>
              <c:strCache>
                <c:ptCount val="1"/>
                <c:pt idx="0">
                  <c:v>Actual</c:v>
                </c:pt>
              </c:strCache>
            </c:strRef>
          </c:tx>
          <c:spPr>
            <a:ln>
              <a:noFill/>
            </a:ln>
          </c:spPr>
          <c:marker>
            <c:symbol val="diamond"/>
            <c:size val="7"/>
            <c:spPr>
              <a:solidFill>
                <a:srgbClr val="9999FF"/>
              </a:solidFill>
              <a:ln>
                <a:solidFill>
                  <a:srgbClr val="0000FF"/>
                </a:solidFill>
              </a:ln>
            </c:spPr>
          </c:marker>
          <c:xVal>
            <c:numRef>
              <c:f>'Log-log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'Log-log price-demand model'!$R$52:$R$118</c:f>
              <c:numCache>
                <c:formatCode>#,##0.000</c:formatCode>
                <c:ptCount val="67"/>
                <c:pt idx="15" formatCode="#,##0">
                  <c:v>439</c:v>
                </c:pt>
                <c:pt idx="16" formatCode="#,##0">
                  <c:v>98</c:v>
                </c:pt>
                <c:pt idx="17" formatCode="#,##0">
                  <c:v>70</c:v>
                </c:pt>
                <c:pt idx="18" formatCode="#,##0">
                  <c:v>52</c:v>
                </c:pt>
                <c:pt idx="19" formatCode="#,##0">
                  <c:v>64</c:v>
                </c:pt>
                <c:pt idx="20" formatCode="#,##0">
                  <c:v>72</c:v>
                </c:pt>
                <c:pt idx="21" formatCode="#,##0">
                  <c:v>47</c:v>
                </c:pt>
                <c:pt idx="22" formatCode="#,##0">
                  <c:v>85</c:v>
                </c:pt>
                <c:pt idx="23" formatCode="#,##0">
                  <c:v>59</c:v>
                </c:pt>
                <c:pt idx="24" formatCode="#,##0">
                  <c:v>63</c:v>
                </c:pt>
                <c:pt idx="25" formatCode="#,##0">
                  <c:v>57</c:v>
                </c:pt>
                <c:pt idx="26" formatCode="#,##0">
                  <c:v>54</c:v>
                </c:pt>
                <c:pt idx="27" formatCode="#,##0">
                  <c:v>404</c:v>
                </c:pt>
                <c:pt idx="28" formatCode="#,##0">
                  <c:v>380</c:v>
                </c:pt>
                <c:pt idx="29" formatCode="#,##0">
                  <c:v>65</c:v>
                </c:pt>
                <c:pt idx="30" formatCode="#,##0">
                  <c:v>40</c:v>
                </c:pt>
                <c:pt idx="31" formatCode="#,##0">
                  <c:v>456</c:v>
                </c:pt>
                <c:pt idx="32" formatCode="#,##0">
                  <c:v>176</c:v>
                </c:pt>
                <c:pt idx="33" formatCode="#,##0">
                  <c:v>61</c:v>
                </c:pt>
                <c:pt idx="34" formatCode="#,##0">
                  <c:v>91</c:v>
                </c:pt>
                <c:pt idx="35" formatCode="#,##0">
                  <c:v>59</c:v>
                </c:pt>
                <c:pt idx="36" formatCode="#,##0">
                  <c:v>83</c:v>
                </c:pt>
                <c:pt idx="37" formatCode="#,##0">
                  <c:v>41</c:v>
                </c:pt>
                <c:pt idx="38" formatCode="#,##0">
                  <c:v>47</c:v>
                </c:pt>
                <c:pt idx="39" formatCode="#,##0">
                  <c:v>84</c:v>
                </c:pt>
                <c:pt idx="40" formatCode="#,##0">
                  <c:v>85</c:v>
                </c:pt>
                <c:pt idx="41" formatCode="#,##0">
                  <c:v>116</c:v>
                </c:pt>
                <c:pt idx="42" formatCode="#,##0">
                  <c:v>544</c:v>
                </c:pt>
                <c:pt idx="43" formatCode="#,##0">
                  <c:v>890</c:v>
                </c:pt>
                <c:pt idx="44" formatCode="#,##0">
                  <c:v>371</c:v>
                </c:pt>
                <c:pt idx="45" formatCode="#,##0">
                  <c:v>557</c:v>
                </c:pt>
                <c:pt idx="46" formatCode="#,##0">
                  <c:v>775</c:v>
                </c:pt>
                <c:pt idx="47" formatCode="#,##0">
                  <c:v>236</c:v>
                </c:pt>
                <c:pt idx="48" formatCode="#,##0">
                  <c:v>43</c:v>
                </c:pt>
                <c:pt idx="49" formatCode="#,##0">
                  <c:v>63</c:v>
                </c:pt>
                <c:pt idx="50" formatCode="#,##0">
                  <c:v>469</c:v>
                </c:pt>
                <c:pt idx="51" formatCode="#,##0">
                  <c:v>335</c:v>
                </c:pt>
                <c:pt idx="52" formatCode="#,##0">
                  <c:v>75</c:v>
                </c:pt>
                <c:pt idx="53" formatCode="#,##0">
                  <c:v>461</c:v>
                </c:pt>
                <c:pt idx="54" formatCode="#,##0">
                  <c:v>817</c:v>
                </c:pt>
                <c:pt idx="55" formatCode="#,##0">
                  <c:v>200</c:v>
                </c:pt>
                <c:pt idx="56" formatCode="#,##0">
                  <c:v>32</c:v>
                </c:pt>
                <c:pt idx="57" formatCode="#,##0">
                  <c:v>460</c:v>
                </c:pt>
                <c:pt idx="58" formatCode="#,##0">
                  <c:v>751</c:v>
                </c:pt>
                <c:pt idx="59" formatCode="#,##0">
                  <c:v>70</c:v>
                </c:pt>
                <c:pt idx="60" formatCode="#,##0">
                  <c:v>80</c:v>
                </c:pt>
                <c:pt idx="61" formatCode="#,##0">
                  <c:v>523</c:v>
                </c:pt>
                <c:pt idx="62" formatCode="#,##0">
                  <c:v>741</c:v>
                </c:pt>
                <c:pt idx="63" formatCode="#,##0">
                  <c:v>130</c:v>
                </c:pt>
                <c:pt idx="64" formatCode="#,##0">
                  <c:v>69</c:v>
                </c:pt>
                <c:pt idx="65" formatCode="#,##0">
                  <c:v>493</c:v>
                </c:pt>
                <c:pt idx="66" formatCode="#,##0">
                  <c:v>814</c:v>
                </c:pt>
              </c:numCache>
            </c:numRef>
          </c:yVal>
          <c:smooth val="1"/>
        </c:ser>
        <c:dLbls>
          <c:showLegendKey val="0"/>
          <c:showVal val="0"/>
          <c:showCatName val="0"/>
          <c:showSerName val="0"/>
          <c:showPercent val="0"/>
          <c:showBubbleSize val="0"/>
        </c:dLbls>
        <c:axId val="369633536"/>
        <c:axId val="369640192"/>
      </c:scatterChart>
      <c:valAx>
        <c:axId val="369633536"/>
        <c:scaling>
          <c:orientation val="minMax"/>
          <c:max val="20"/>
          <c:min val="13"/>
        </c:scaling>
        <c:delete val="0"/>
        <c:axPos val="b"/>
        <c:title>
          <c:tx>
            <c:rich>
              <a:bodyPr/>
              <a:lstStyle/>
              <a:p>
                <a:pPr>
                  <a:defRPr/>
                </a:pPr>
                <a:r>
                  <a:rPr lang="en-US" sz="1100"/>
                  <a:t>Price per case for 18-packs</a:t>
                </a:r>
              </a:p>
            </c:rich>
          </c:tx>
          <c:layout/>
          <c:overlay val="0"/>
        </c:title>
        <c:numFmt formatCode="#,##0" sourceLinked="0"/>
        <c:majorTickMark val="out"/>
        <c:minorTickMark val="none"/>
        <c:tickLblPos val="nextTo"/>
        <c:crossAx val="369640192"/>
        <c:crosses val="autoZero"/>
        <c:crossBetween val="midCat"/>
      </c:valAx>
      <c:valAx>
        <c:axId val="369640192"/>
        <c:scaling>
          <c:orientation val="minMax"/>
          <c:max val="1600"/>
          <c:min val="0"/>
        </c:scaling>
        <c:delete val="0"/>
        <c:axPos val="l"/>
        <c:majorGridlines/>
        <c:title>
          <c:tx>
            <c:rich>
              <a:bodyPr rot="-5400000" vert="horz"/>
              <a:lstStyle/>
              <a:p>
                <a:pPr>
                  <a:defRPr/>
                </a:pPr>
                <a:r>
                  <a:rPr lang="en-US" sz="1100"/>
                  <a:t>Cases of 18-packs sold</a:t>
                </a:r>
              </a:p>
            </c:rich>
          </c:tx>
          <c:layout>
            <c:manualLayout>
              <c:xMode val="edge"/>
              <c:yMode val="edge"/>
              <c:x val="1.5900032163150557E-2"/>
              <c:y val="0.36157151546035865"/>
            </c:manualLayout>
          </c:layout>
          <c:overlay val="0"/>
        </c:title>
        <c:numFmt formatCode="#,##0" sourceLinked="0"/>
        <c:majorTickMark val="out"/>
        <c:minorTickMark val="none"/>
        <c:tickLblPos val="nextTo"/>
        <c:crossAx val="369633536"/>
        <c:crosses val="autoZero"/>
        <c:crossBetween val="midCat"/>
      </c:valAx>
      <c:spPr>
        <a:ln>
          <a:solidFill>
            <a:srgbClr val="808080"/>
          </a:solidFill>
        </a:ln>
      </c:spPr>
    </c:plotArea>
    <c:legend>
      <c:legendPos val="r"/>
      <c:layout>
        <c:manualLayout>
          <c:xMode val="edge"/>
          <c:yMode val="edge"/>
          <c:x val="0.51797750506411921"/>
          <c:y val="0.22415818672317933"/>
          <c:w val="0.17099392076746836"/>
          <c:h val="0.20134071967517631"/>
        </c:manualLayout>
      </c:layout>
      <c:overlay val="0"/>
      <c:spPr>
        <a:solidFill>
          <a:schemeClr val="bg1"/>
        </a:solidFill>
        <a:ln>
          <a:solidFill>
            <a:srgbClr val="808080"/>
          </a:solidFill>
        </a:ln>
      </c:spPr>
    </c:legend>
    <c:plotVisOnly val="1"/>
    <c:dispBlanksAs val="gap"/>
    <c:showDLblsOverMax val="0"/>
  </c:chart>
  <c:spPr>
    <a:solidFill>
      <a:srgbClr val="F3F3F3"/>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'Linear price-demand model'!$AA$2</c:f>
          <c:strCache>
            <c:ptCount val="1"/>
            <c:pt idx="0">
              <c:v>Forecasts and 95.0% confidence limits for means and forecasts
Linear price-demand model for CASES_18PK    (1 variable, n=52)</c:v>
            </c:pt>
          </c:strCache>
        </c:strRef>
      </c:tx>
      <c:layout/>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'Linear price-demand model'!$CG$52:$CG$66</c:f>
                <c:numCache>
                  <c:formatCode>General</c:formatCode>
                  <c:ptCount val="15"/>
                  <c:pt idx="0">
                    <c:v>270.69066509086542</c:v>
                  </c:pt>
                  <c:pt idx="1">
                    <c:v>269.19859184920256</c:v>
                  </c:pt>
                  <c:pt idx="2">
                    <c:v>267.91462719577527</c:v>
                  </c:pt>
                  <c:pt idx="3">
                    <c:v>266.84177522065067</c:v>
                  </c:pt>
                  <c:pt idx="4">
                    <c:v>265.98259053171989</c:v>
                  </c:pt>
                  <c:pt idx="5">
                    <c:v>265.33914874104084</c:v>
                  </c:pt>
                  <c:pt idx="6">
                    <c:v>264.91302189374363</c:v>
                  </c:pt>
                  <c:pt idx="7">
                    <c:v>264.70525950333763</c:v>
                  </c:pt>
                  <c:pt idx="8">
                    <c:v>264.7163757197178</c:v>
                  </c:pt>
                  <c:pt idx="9">
                    <c:v>264.94634299275691</c:v>
                  </c:pt>
                  <c:pt idx="10">
                    <c:v>265.39459241267087</c:v>
                  </c:pt>
                  <c:pt idx="11">
                    <c:v>266.06002071739204</c:v>
                  </c:pt>
                  <c:pt idx="12">
                    <c:v>266.94100376673072</c:v>
                  </c:pt>
                  <c:pt idx="13">
                    <c:v>268.03541610287198</c:v>
                  </c:pt>
                  <c:pt idx="14">
                    <c:v>269.34065605565195</c:v>
                  </c:pt>
                </c:numCache>
              </c:numRef>
            </c:plus>
            <c:minus>
              <c:numRef>
                <c:f>'Linear price-demand model'!$CG$52:$CG$66</c:f>
                <c:numCache>
                  <c:formatCode>General</c:formatCode>
                  <c:ptCount val="15"/>
                  <c:pt idx="0">
                    <c:v>270.69066509086542</c:v>
                  </c:pt>
                  <c:pt idx="1">
                    <c:v>269.19859184920256</c:v>
                  </c:pt>
                  <c:pt idx="2">
                    <c:v>267.91462719577527</c:v>
                  </c:pt>
                  <c:pt idx="3">
                    <c:v>266.84177522065067</c:v>
                  </c:pt>
                  <c:pt idx="4">
                    <c:v>265.98259053171989</c:v>
                  </c:pt>
                  <c:pt idx="5">
                    <c:v>265.33914874104084</c:v>
                  </c:pt>
                  <c:pt idx="6">
                    <c:v>264.91302189374363</c:v>
                  </c:pt>
                  <c:pt idx="7">
                    <c:v>264.70525950333763</c:v>
                  </c:pt>
                  <c:pt idx="8">
                    <c:v>264.7163757197178</c:v>
                  </c:pt>
                  <c:pt idx="9">
                    <c:v>264.94634299275691</c:v>
                  </c:pt>
                  <c:pt idx="10">
                    <c:v>265.39459241267087</c:v>
                  </c:pt>
                  <c:pt idx="11">
                    <c:v>266.06002071739204</c:v>
                  </c:pt>
                  <c:pt idx="12">
                    <c:v>266.94100376673072</c:v>
                  </c:pt>
                  <c:pt idx="13">
                    <c:v>268.03541610287198</c:v>
                  </c:pt>
                  <c:pt idx="14">
                    <c:v>269.34065605565195</c:v>
                  </c:pt>
                </c:numCache>
              </c:numRef>
            </c:minus>
          </c:errBars>
          <c:cat>
            <c:numRef>
              <c:f>'Linear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cat>
          <c:val>
            <c:numRef>
              <c:f>'Linear price-demand model'!$B$52:$B$66</c:f>
              <c:numCache>
                <c:formatCode>#,##0.000</c:formatCode>
                <c:ptCount val="15"/>
                <c:pt idx="0">
                  <c:v>603.08939520678678</c:v>
                </c:pt>
                <c:pt idx="1">
                  <c:v>556.58575892334761</c:v>
                </c:pt>
                <c:pt idx="2">
                  <c:v>510.08212263990822</c:v>
                </c:pt>
                <c:pt idx="3">
                  <c:v>463.57848635646906</c:v>
                </c:pt>
                <c:pt idx="4">
                  <c:v>417.07485007302989</c:v>
                </c:pt>
                <c:pt idx="5">
                  <c:v>370.57121378959073</c:v>
                </c:pt>
                <c:pt idx="6">
                  <c:v>324.06757750615157</c:v>
                </c:pt>
                <c:pt idx="7">
                  <c:v>277.5639412227124</c:v>
                </c:pt>
                <c:pt idx="8">
                  <c:v>231.06030493927324</c:v>
                </c:pt>
                <c:pt idx="9">
                  <c:v>184.55666865583407</c:v>
                </c:pt>
                <c:pt idx="10">
                  <c:v>138.05303237239491</c:v>
                </c:pt>
                <c:pt idx="11">
                  <c:v>91.549396088955518</c:v>
                </c:pt>
                <c:pt idx="12">
                  <c:v>45.045759805516354</c:v>
                </c:pt>
                <c:pt idx="13">
                  <c:v>-1.4578764779228095</c:v>
                </c:pt>
                <c:pt idx="14">
                  <c:v>-47.961512761361973</c:v>
                </c:pt>
              </c:numCache>
            </c:numRef>
          </c:val>
          <c:smooth val="0"/>
        </c:ser>
        <c:ser>
          <c:idx val="1"/>
          <c:order val="1"/>
          <c:tx>
            <c:strRef>
              <c:f>'Linear price-demand model'!$H$51</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cat>
            <c:numRef>
              <c:f>'Linear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cat>
          <c:val>
            <c:numRef>
              <c:f>'Linear price-demand model'!$H$52:$H$66</c:f>
              <c:numCache>
                <c:formatCode>0.000</c:formatCode>
                <c:ptCount val="15"/>
                <c:pt idx="0">
                  <c:v>670.45475796106757</c:v>
                </c:pt>
                <c:pt idx="1">
                  <c:v>617.68025773685997</c:v>
                </c:pt>
                <c:pt idx="2">
                  <c:v>565.24464068551583</c:v>
                </c:pt>
                <c:pt idx="3">
                  <c:v>513.26942048523154</c:v>
                </c:pt>
                <c:pt idx="4">
                  <c:v>461.92342193039593</c:v>
                </c:pt>
                <c:pt idx="5">
                  <c:v>411.43097133048826</c:v>
                </c:pt>
                <c:pt idx="6">
                  <c:v>362.06185471411857</c:v>
                </c:pt>
                <c:pt idx="7">
                  <c:v>314.08147592058111</c:v>
                </c:pt>
                <c:pt idx="8">
                  <c:v>267.65833092242627</c:v>
                </c:pt>
                <c:pt idx="9">
                  <c:v>222.78258390866142</c:v>
                </c:pt>
                <c:pt idx="10">
                  <c:v>179.27130033174066</c:v>
                </c:pt>
                <c:pt idx="11">
                  <c:v>136.85492065075499</c:v>
                </c:pt>
                <c:pt idx="12">
                  <c:v>95.266825342504902</c:v>
                </c:pt>
                <c:pt idx="13">
                  <c:v>54.288336103027277</c:v>
                </c:pt>
                <c:pt idx="14">
                  <c:v>13.75594778401166</c:v>
                </c:pt>
              </c:numCache>
            </c:numRef>
          </c:val>
          <c:smooth val="0"/>
        </c:ser>
        <c:ser>
          <c:idx val="2"/>
          <c:order val="2"/>
          <c:tx>
            <c:strRef>
              <c:f>'Linear price-demand model'!$G$51</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cat>
            <c:numRef>
              <c:f>'Linear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cat>
          <c:val>
            <c:numRef>
              <c:f>'Linear price-demand model'!$G$52:$G$66</c:f>
              <c:numCache>
                <c:formatCode>0.000</c:formatCode>
                <c:ptCount val="15"/>
                <c:pt idx="0">
                  <c:v>535.72403245250598</c:v>
                </c:pt>
                <c:pt idx="1">
                  <c:v>495.49126010983525</c:v>
                </c:pt>
                <c:pt idx="2">
                  <c:v>454.91960459430061</c:v>
                </c:pt>
                <c:pt idx="3">
                  <c:v>413.88755222770664</c:v>
                </c:pt>
                <c:pt idx="4">
                  <c:v>372.22627821566385</c:v>
                </c:pt>
                <c:pt idx="5">
                  <c:v>329.7114562486932</c:v>
                </c:pt>
                <c:pt idx="6">
                  <c:v>286.07330029818456</c:v>
                </c:pt>
                <c:pt idx="7">
                  <c:v>241.04640652484369</c:v>
                </c:pt>
                <c:pt idx="8">
                  <c:v>194.4622789561202</c:v>
                </c:pt>
                <c:pt idx="9">
                  <c:v>146.33075340300672</c:v>
                </c:pt>
                <c:pt idx="10">
                  <c:v>96.834764413049157</c:v>
                </c:pt>
                <c:pt idx="11">
                  <c:v>46.243871527156038</c:v>
                </c:pt>
                <c:pt idx="12">
                  <c:v>-5.1753057314721929</c:v>
                </c:pt>
                <c:pt idx="13">
                  <c:v>-57.204089058872896</c:v>
                </c:pt>
                <c:pt idx="14">
                  <c:v>-109.6789733067356</c:v>
                </c:pt>
              </c:numCache>
            </c:numRef>
          </c:val>
          <c:smooth val="0"/>
        </c:ser>
        <c:dLbls>
          <c:showLegendKey val="0"/>
          <c:showVal val="0"/>
          <c:showCatName val="0"/>
          <c:showSerName val="0"/>
          <c:showPercent val="0"/>
          <c:showBubbleSize val="0"/>
        </c:dLbls>
        <c:marker val="1"/>
        <c:smooth val="0"/>
        <c:axId val="342689280"/>
        <c:axId val="342695936"/>
      </c:lineChart>
      <c:catAx>
        <c:axId val="342689280"/>
        <c:scaling>
          <c:orientation val="minMax"/>
        </c:scaling>
        <c:delete val="0"/>
        <c:axPos val="b"/>
        <c:title>
          <c:tx>
            <c:rich>
              <a:bodyPr/>
              <a:lstStyle/>
              <a:p>
                <a:pPr>
                  <a:defRPr/>
                </a:pPr>
                <a:r>
                  <a:rPr lang="en-US"/>
                  <a:t>Observation #</a:t>
                </a:r>
              </a:p>
            </c:rich>
          </c:tx>
          <c:layout/>
          <c:overlay val="0"/>
        </c:title>
        <c:numFmt formatCode="0" sourceLinked="1"/>
        <c:majorTickMark val="out"/>
        <c:minorTickMark val="none"/>
        <c:tickLblPos val="nextTo"/>
        <c:crossAx val="342695936"/>
        <c:crossesAt val="-400"/>
        <c:auto val="1"/>
        <c:lblAlgn val="ctr"/>
        <c:lblOffset val="100"/>
        <c:noMultiLvlLbl val="0"/>
      </c:catAx>
      <c:valAx>
        <c:axId val="342695936"/>
        <c:scaling>
          <c:orientation val="minMax"/>
          <c:max val="1000"/>
          <c:min val="-400"/>
        </c:scaling>
        <c:delete val="0"/>
        <c:axPos val="l"/>
        <c:majorGridlines>
          <c:spPr>
            <a:ln w="3175">
              <a:solidFill>
                <a:srgbClr val="C0C0C0"/>
              </a:solidFill>
              <a:prstDash val="solid"/>
            </a:ln>
          </c:spPr>
        </c:majorGridlines>
        <c:title>
          <c:tx>
            <c:rich>
              <a:bodyPr/>
              <a:lstStyle/>
              <a:p>
                <a:pPr>
                  <a:defRPr/>
                </a:pPr>
                <a:r>
                  <a:rPr lang="en-US"/>
                  <a:t>CASES_18PK</a:t>
                </a:r>
              </a:p>
            </c:rich>
          </c:tx>
          <c:layout>
            <c:manualLayout>
              <c:xMode val="edge"/>
              <c:yMode val="edge"/>
              <c:x val="2.5685931115002919E-2"/>
              <c:y val="0.3651974336541266"/>
            </c:manualLayout>
          </c:layout>
          <c:overlay val="0"/>
        </c:title>
        <c:numFmt formatCode="General" sourceLinked="0"/>
        <c:majorTickMark val="out"/>
        <c:minorTickMark val="none"/>
        <c:tickLblPos val="nextTo"/>
        <c:crossAx val="342689280"/>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'Linear price-demand model'!$AA$3</c:f>
          <c:strCache>
            <c:ptCount val="1"/>
            <c:pt idx="0">
              <c:v>Actual and predicted -vs- Observation # with 95.0% confidence limits
Linear price-demand model for CASES_18PK    (1 variable, n=52)</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439</c:v>
              </c:pt>
              <c:pt idx="1">
                <c:v>98</c:v>
              </c:pt>
              <c:pt idx="2">
                <c:v>70</c:v>
              </c:pt>
              <c:pt idx="3">
                <c:v>52</c:v>
              </c:pt>
              <c:pt idx="4">
                <c:v>64</c:v>
              </c:pt>
              <c:pt idx="5">
                <c:v>72</c:v>
              </c:pt>
              <c:pt idx="6">
                <c:v>47</c:v>
              </c:pt>
              <c:pt idx="7">
                <c:v>85</c:v>
              </c:pt>
              <c:pt idx="8">
                <c:v>59</c:v>
              </c:pt>
              <c:pt idx="9">
                <c:v>63</c:v>
              </c:pt>
              <c:pt idx="10">
                <c:v>57</c:v>
              </c:pt>
              <c:pt idx="11">
                <c:v>54</c:v>
              </c:pt>
              <c:pt idx="12">
                <c:v>404</c:v>
              </c:pt>
              <c:pt idx="13">
                <c:v>380</c:v>
              </c:pt>
              <c:pt idx="14">
                <c:v>65</c:v>
              </c:pt>
              <c:pt idx="15">
                <c:v>40</c:v>
              </c:pt>
              <c:pt idx="16">
                <c:v>456</c:v>
              </c:pt>
              <c:pt idx="17">
                <c:v>176</c:v>
              </c:pt>
              <c:pt idx="18">
                <c:v>61</c:v>
              </c:pt>
              <c:pt idx="19">
                <c:v>91</c:v>
              </c:pt>
              <c:pt idx="20">
                <c:v>59</c:v>
              </c:pt>
              <c:pt idx="21">
                <c:v>83</c:v>
              </c:pt>
              <c:pt idx="22">
                <c:v>41</c:v>
              </c:pt>
              <c:pt idx="23">
                <c:v>47</c:v>
              </c:pt>
              <c:pt idx="24">
                <c:v>84</c:v>
              </c:pt>
              <c:pt idx="25">
                <c:v>85</c:v>
              </c:pt>
              <c:pt idx="26">
                <c:v>116</c:v>
              </c:pt>
              <c:pt idx="27">
                <c:v>544</c:v>
              </c:pt>
              <c:pt idx="28">
                <c:v>890</c:v>
              </c:pt>
              <c:pt idx="29">
                <c:v>371</c:v>
              </c:pt>
              <c:pt idx="30">
                <c:v>557</c:v>
              </c:pt>
              <c:pt idx="31">
                <c:v>775</c:v>
              </c:pt>
              <c:pt idx="32">
                <c:v>236</c:v>
              </c:pt>
              <c:pt idx="33">
                <c:v>43</c:v>
              </c:pt>
              <c:pt idx="34">
                <c:v>63</c:v>
              </c:pt>
              <c:pt idx="35">
                <c:v>469</c:v>
              </c:pt>
              <c:pt idx="36">
                <c:v>335</c:v>
              </c:pt>
              <c:pt idx="37">
                <c:v>75</c:v>
              </c:pt>
              <c:pt idx="38">
                <c:v>461</c:v>
              </c:pt>
              <c:pt idx="39">
                <c:v>817</c:v>
              </c:pt>
              <c:pt idx="40">
                <c:v>200</c:v>
              </c:pt>
              <c:pt idx="41">
                <c:v>32</c:v>
              </c:pt>
              <c:pt idx="42">
                <c:v>460</c:v>
              </c:pt>
              <c:pt idx="43">
                <c:v>751</c:v>
              </c:pt>
              <c:pt idx="44">
                <c:v>70</c:v>
              </c:pt>
              <c:pt idx="45">
                <c:v>80</c:v>
              </c:pt>
              <c:pt idx="46">
                <c:v>523</c:v>
              </c:pt>
              <c:pt idx="47">
                <c:v>741</c:v>
              </c:pt>
              <c:pt idx="48">
                <c:v>130</c:v>
              </c:pt>
              <c:pt idx="49">
                <c:v>69</c:v>
              </c:pt>
              <c:pt idx="50">
                <c:v>493</c:v>
              </c:pt>
              <c:pt idx="51">
                <c:v>814</c:v>
              </c:pt>
            </c:numLit>
          </c:yVal>
          <c:smooth val="0"/>
        </c:ser>
        <c:ser>
          <c:idx val="1"/>
          <c:order val="1"/>
          <c:tx>
            <c:v>Predicted</c:v>
          </c:tx>
          <c:spPr>
            <a:ln w="25400">
              <a:noFill/>
            </a:ln>
          </c:spPr>
          <c:marker>
            <c:symbol val="circle"/>
            <c:size val="6"/>
            <c:spPr>
              <a:noFill/>
              <a:ln w="9525">
                <a:solidFill>
                  <a:srgbClr val="FF0000"/>
                </a:solidFill>
                <a:prstDash val="solid"/>
              </a:ln>
            </c:spPr>
          </c:marker>
          <c:xVal>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xVal>
          <c:yVal>
            <c:numLit>
              <c:formatCode>General</c:formatCode>
              <c:ptCount val="52"/>
              <c:pt idx="0">
                <c:v>500.78139538322057</c:v>
              </c:pt>
              <c:pt idx="1">
                <c:v>77.598305203923928</c:v>
              </c:pt>
              <c:pt idx="2">
                <c:v>77.598305203923928</c:v>
              </c:pt>
              <c:pt idx="3">
                <c:v>77.598305203923928</c:v>
              </c:pt>
              <c:pt idx="4">
                <c:v>77.598305203923928</c:v>
              </c:pt>
              <c:pt idx="5">
                <c:v>77.598305203923928</c:v>
              </c:pt>
              <c:pt idx="6">
                <c:v>77.598305203923928</c:v>
              </c:pt>
              <c:pt idx="7">
                <c:v>70.15772339857358</c:v>
              </c:pt>
              <c:pt idx="8">
                <c:v>68.29757794723605</c:v>
              </c:pt>
              <c:pt idx="9">
                <c:v>68.29757794723605</c:v>
              </c:pt>
              <c:pt idx="10">
                <c:v>68.29757794723605</c:v>
              </c:pt>
              <c:pt idx="11">
                <c:v>68.29757794723605</c:v>
              </c:pt>
              <c:pt idx="12">
                <c:v>522.17306807360251</c:v>
              </c:pt>
              <c:pt idx="13">
                <c:v>484.97015904685122</c:v>
              </c:pt>
              <c:pt idx="14">
                <c:v>67.367505221567171</c:v>
              </c:pt>
              <c:pt idx="15">
                <c:v>66.43743249589852</c:v>
              </c:pt>
              <c:pt idx="16">
                <c:v>522.17306807360251</c:v>
              </c:pt>
              <c:pt idx="17">
                <c:v>497.06110448054528</c:v>
              </c:pt>
              <c:pt idx="18">
                <c:v>67.367505221567171</c:v>
              </c:pt>
              <c:pt idx="19">
                <c:v>71.087796124242459</c:v>
              </c:pt>
              <c:pt idx="20">
                <c:v>67.367505221567171</c:v>
              </c:pt>
              <c:pt idx="21">
                <c:v>67.367505221567171</c:v>
              </c:pt>
              <c:pt idx="22">
                <c:v>69.227650672904929</c:v>
              </c:pt>
              <c:pt idx="23">
                <c:v>68.29757794723605</c:v>
              </c:pt>
              <c:pt idx="24">
                <c:v>68.29757794723605</c:v>
              </c:pt>
              <c:pt idx="25">
                <c:v>68.29757794723605</c:v>
              </c:pt>
              <c:pt idx="26">
                <c:v>68.29757794723605</c:v>
              </c:pt>
              <c:pt idx="27">
                <c:v>529.61364987895286</c:v>
              </c:pt>
              <c:pt idx="28">
                <c:v>557.51583164901626</c:v>
              </c:pt>
              <c:pt idx="29">
                <c:v>427.30565005538642</c:v>
              </c:pt>
              <c:pt idx="30">
                <c:v>515.66255899392104</c:v>
              </c:pt>
              <c:pt idx="31">
                <c:v>540.77452258697826</c:v>
              </c:pt>
              <c:pt idx="32">
                <c:v>470.08899543615075</c:v>
              </c:pt>
              <c:pt idx="33">
                <c:v>68.29757794723605</c:v>
              </c:pt>
              <c:pt idx="34">
                <c:v>117.59143240768162</c:v>
              </c:pt>
              <c:pt idx="35">
                <c:v>504.50168628589563</c:v>
              </c:pt>
              <c:pt idx="36">
                <c:v>470.08899543615075</c:v>
              </c:pt>
              <c:pt idx="37">
                <c:v>0.40226897341472068</c:v>
              </c:pt>
              <c:pt idx="38">
                <c:v>403.12375918799808</c:v>
              </c:pt>
              <c:pt idx="39">
                <c:v>529.61364987895286</c:v>
              </c:pt>
              <c:pt idx="40">
                <c:v>481.24986814417593</c:v>
              </c:pt>
              <c:pt idx="41">
                <c:v>-1.4578764779228095</c:v>
              </c:pt>
              <c:pt idx="42">
                <c:v>524.03321352494004</c:v>
              </c:pt>
              <c:pt idx="43">
                <c:v>488.69044994952628</c:v>
              </c:pt>
              <c:pt idx="44">
                <c:v>16.213505309784296</c:v>
              </c:pt>
              <c:pt idx="45">
                <c:v>18.073650761121826</c:v>
              </c:pt>
              <c:pt idx="46">
                <c:v>532.40386805595926</c:v>
              </c:pt>
              <c:pt idx="47">
                <c:v>561.23612255169155</c:v>
              </c:pt>
              <c:pt idx="48">
                <c:v>404.98390463933561</c:v>
              </c:pt>
              <c:pt idx="49">
                <c:v>5.0526326017586598</c:v>
              </c:pt>
              <c:pt idx="50">
                <c:v>578.90750433939843</c:v>
              </c:pt>
              <c:pt idx="51">
                <c:v>517.52270444525857</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'Linear price-demand model'!$CG$52:$CG$66</c:f>
                <c:numCache>
                  <c:formatCode>General</c:formatCode>
                  <c:ptCount val="15"/>
                  <c:pt idx="0">
                    <c:v>270.69066509086542</c:v>
                  </c:pt>
                  <c:pt idx="1">
                    <c:v>269.19859184920256</c:v>
                  </c:pt>
                  <c:pt idx="2">
                    <c:v>267.91462719577527</c:v>
                  </c:pt>
                  <c:pt idx="3">
                    <c:v>266.84177522065067</c:v>
                  </c:pt>
                  <c:pt idx="4">
                    <c:v>265.98259053171989</c:v>
                  </c:pt>
                  <c:pt idx="5">
                    <c:v>265.33914874104084</c:v>
                  </c:pt>
                  <c:pt idx="6">
                    <c:v>264.91302189374363</c:v>
                  </c:pt>
                  <c:pt idx="7">
                    <c:v>264.70525950333763</c:v>
                  </c:pt>
                  <c:pt idx="8">
                    <c:v>264.7163757197178</c:v>
                  </c:pt>
                  <c:pt idx="9">
                    <c:v>264.94634299275691</c:v>
                  </c:pt>
                  <c:pt idx="10">
                    <c:v>265.39459241267087</c:v>
                  </c:pt>
                  <c:pt idx="11">
                    <c:v>266.06002071739204</c:v>
                  </c:pt>
                  <c:pt idx="12">
                    <c:v>266.94100376673072</c:v>
                  </c:pt>
                  <c:pt idx="13">
                    <c:v>268.03541610287198</c:v>
                  </c:pt>
                  <c:pt idx="14">
                    <c:v>269.34065605565195</c:v>
                  </c:pt>
                </c:numCache>
              </c:numRef>
            </c:plus>
            <c:minus>
              <c:numRef>
                <c:f>'Linear price-demand model'!$CG$52:$CG$66</c:f>
                <c:numCache>
                  <c:formatCode>General</c:formatCode>
                  <c:ptCount val="15"/>
                  <c:pt idx="0">
                    <c:v>270.69066509086542</c:v>
                  </c:pt>
                  <c:pt idx="1">
                    <c:v>269.19859184920256</c:v>
                  </c:pt>
                  <c:pt idx="2">
                    <c:v>267.91462719577527</c:v>
                  </c:pt>
                  <c:pt idx="3">
                    <c:v>266.84177522065067</c:v>
                  </c:pt>
                  <c:pt idx="4">
                    <c:v>265.98259053171989</c:v>
                  </c:pt>
                  <c:pt idx="5">
                    <c:v>265.33914874104084</c:v>
                  </c:pt>
                  <c:pt idx="6">
                    <c:v>264.91302189374363</c:v>
                  </c:pt>
                  <c:pt idx="7">
                    <c:v>264.70525950333763</c:v>
                  </c:pt>
                  <c:pt idx="8">
                    <c:v>264.7163757197178</c:v>
                  </c:pt>
                  <c:pt idx="9">
                    <c:v>264.94634299275691</c:v>
                  </c:pt>
                  <c:pt idx="10">
                    <c:v>265.39459241267087</c:v>
                  </c:pt>
                  <c:pt idx="11">
                    <c:v>266.06002071739204</c:v>
                  </c:pt>
                  <c:pt idx="12">
                    <c:v>266.94100376673072</c:v>
                  </c:pt>
                  <c:pt idx="13">
                    <c:v>268.03541610287198</c:v>
                  </c:pt>
                  <c:pt idx="14">
                    <c:v>269.34065605565195</c:v>
                  </c:pt>
                </c:numCache>
              </c:numRef>
            </c:minus>
          </c:errBars>
          <c:xVal>
            <c:numRef>
              <c:f>'Linear price-demand model'!$A$52:$A$66</c:f>
              <c:numCache>
                <c:formatCode>0</c:formatCode>
                <c:ptCount val="15"/>
                <c:pt idx="0">
                  <c:v>53</c:v>
                </c:pt>
                <c:pt idx="1">
                  <c:v>54</c:v>
                </c:pt>
                <c:pt idx="2">
                  <c:v>55</c:v>
                </c:pt>
                <c:pt idx="3">
                  <c:v>56</c:v>
                </c:pt>
                <c:pt idx="4">
                  <c:v>57</c:v>
                </c:pt>
                <c:pt idx="5">
                  <c:v>58</c:v>
                </c:pt>
                <c:pt idx="6">
                  <c:v>59</c:v>
                </c:pt>
                <c:pt idx="7">
                  <c:v>60</c:v>
                </c:pt>
                <c:pt idx="8">
                  <c:v>61</c:v>
                </c:pt>
                <c:pt idx="9">
                  <c:v>62</c:v>
                </c:pt>
                <c:pt idx="10">
                  <c:v>63</c:v>
                </c:pt>
                <c:pt idx="11">
                  <c:v>64</c:v>
                </c:pt>
                <c:pt idx="12">
                  <c:v>65</c:v>
                </c:pt>
                <c:pt idx="13">
                  <c:v>66</c:v>
                </c:pt>
                <c:pt idx="14">
                  <c:v>67</c:v>
                </c:pt>
              </c:numCache>
            </c:numRef>
          </c:xVal>
          <c:yVal>
            <c:numRef>
              <c:f>'Linear price-demand model'!$B$52:$B$66</c:f>
              <c:numCache>
                <c:formatCode>#,##0.000</c:formatCode>
                <c:ptCount val="15"/>
                <c:pt idx="0">
                  <c:v>603.08939520678678</c:v>
                </c:pt>
                <c:pt idx="1">
                  <c:v>556.58575892334761</c:v>
                </c:pt>
                <c:pt idx="2">
                  <c:v>510.08212263990822</c:v>
                </c:pt>
                <c:pt idx="3">
                  <c:v>463.57848635646906</c:v>
                </c:pt>
                <c:pt idx="4">
                  <c:v>417.07485007302989</c:v>
                </c:pt>
                <c:pt idx="5">
                  <c:v>370.57121378959073</c:v>
                </c:pt>
                <c:pt idx="6">
                  <c:v>324.06757750615157</c:v>
                </c:pt>
                <c:pt idx="7">
                  <c:v>277.5639412227124</c:v>
                </c:pt>
                <c:pt idx="8">
                  <c:v>231.06030493927324</c:v>
                </c:pt>
                <c:pt idx="9">
                  <c:v>184.55666865583407</c:v>
                </c:pt>
                <c:pt idx="10">
                  <c:v>138.05303237239491</c:v>
                </c:pt>
                <c:pt idx="11">
                  <c:v>91.549396088955518</c:v>
                </c:pt>
                <c:pt idx="12">
                  <c:v>45.045759805516354</c:v>
                </c:pt>
                <c:pt idx="13">
                  <c:v>-1.4578764779228095</c:v>
                </c:pt>
                <c:pt idx="14">
                  <c:v>-47.961512761361973</c:v>
                </c:pt>
              </c:numCache>
            </c:numRef>
          </c:yVal>
          <c:smooth val="0"/>
        </c:ser>
        <c:dLbls>
          <c:showLegendKey val="0"/>
          <c:showVal val="0"/>
          <c:showCatName val="0"/>
          <c:showSerName val="0"/>
          <c:showPercent val="0"/>
          <c:showBubbleSize val="0"/>
        </c:dLbls>
        <c:axId val="342730624"/>
        <c:axId val="342732800"/>
      </c:scatterChart>
      <c:valAx>
        <c:axId val="342730624"/>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342732800"/>
        <c:crossesAt val="-400"/>
        <c:crossBetween val="midCat"/>
      </c:valAx>
      <c:valAx>
        <c:axId val="342732800"/>
        <c:scaling>
          <c:orientation val="minMax"/>
        </c:scaling>
        <c:delete val="0"/>
        <c:axPos val="l"/>
        <c:majorGridlines>
          <c:spPr>
            <a:ln w="3175">
              <a:solidFill>
                <a:srgbClr val="C0C0C0"/>
              </a:solidFill>
              <a:prstDash val="solid"/>
            </a:ln>
          </c:spPr>
        </c:majorGridlines>
        <c:title>
          <c:tx>
            <c:rich>
              <a:bodyPr/>
              <a:lstStyle/>
              <a:p>
                <a:pPr>
                  <a:defRPr/>
                </a:pPr>
                <a:r>
                  <a:rPr lang="en-US"/>
                  <a:t>CASES_18PK</a:t>
                </a:r>
              </a:p>
            </c:rich>
          </c:tx>
          <c:layout>
            <c:manualLayout>
              <c:xMode val="edge"/>
              <c:yMode val="edge"/>
              <c:x val="2.5685931115002919E-2"/>
              <c:y val="0.3651974336541266"/>
            </c:manualLayout>
          </c:layout>
          <c:overlay val="0"/>
        </c:title>
        <c:numFmt formatCode="General" sourceLinked="1"/>
        <c:majorTickMark val="out"/>
        <c:minorTickMark val="none"/>
        <c:tickLblPos val="nextTo"/>
        <c:crossAx val="342730624"/>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Linear price-demand model for CASES_18PK    (1 variable,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Lit>
          </c:cat>
          <c:val>
            <c:numLit>
              <c:formatCode>General</c:formatCode>
              <c:ptCount val="52"/>
              <c:pt idx="0">
                <c:v>-61.78139538322057</c:v>
              </c:pt>
              <c:pt idx="1">
                <c:v>20.401694796076072</c:v>
              </c:pt>
              <c:pt idx="2">
                <c:v>-7.5983052039239283</c:v>
              </c:pt>
              <c:pt idx="3">
                <c:v>-25.598305203923928</c:v>
              </c:pt>
              <c:pt idx="4">
                <c:v>-13.598305203923928</c:v>
              </c:pt>
              <c:pt idx="5">
                <c:v>-5.5983052039239283</c:v>
              </c:pt>
              <c:pt idx="6">
                <c:v>-30.598305203923928</c:v>
              </c:pt>
              <c:pt idx="7">
                <c:v>14.84227660142642</c:v>
              </c:pt>
              <c:pt idx="8">
                <c:v>-9.29757794723605</c:v>
              </c:pt>
              <c:pt idx="9">
                <c:v>-5.29757794723605</c:v>
              </c:pt>
              <c:pt idx="10">
                <c:v>-11.29757794723605</c:v>
              </c:pt>
              <c:pt idx="11">
                <c:v>-14.29757794723605</c:v>
              </c:pt>
              <c:pt idx="12">
                <c:v>-118.17306807360251</c:v>
              </c:pt>
              <c:pt idx="13">
                <c:v>-104.97015904685122</c:v>
              </c:pt>
              <c:pt idx="14">
                <c:v>-2.3675052215671712</c:v>
              </c:pt>
              <c:pt idx="15">
                <c:v>-26.43743249589852</c:v>
              </c:pt>
              <c:pt idx="16">
                <c:v>-66.173068073602508</c:v>
              </c:pt>
              <c:pt idx="17">
                <c:v>-321.06110448054528</c:v>
              </c:pt>
              <c:pt idx="18">
                <c:v>-6.3675052215671712</c:v>
              </c:pt>
              <c:pt idx="19">
                <c:v>19.912203875757541</c:v>
              </c:pt>
              <c:pt idx="20">
                <c:v>-8.3675052215671712</c:v>
              </c:pt>
              <c:pt idx="21">
                <c:v>15.632494778432829</c:v>
              </c:pt>
              <c:pt idx="22">
                <c:v>-28.227650672904929</c:v>
              </c:pt>
              <c:pt idx="23">
                <c:v>-21.29757794723605</c:v>
              </c:pt>
              <c:pt idx="24">
                <c:v>15.70242205276395</c:v>
              </c:pt>
              <c:pt idx="25">
                <c:v>16.70242205276395</c:v>
              </c:pt>
              <c:pt idx="26">
                <c:v>47.70242205276395</c:v>
              </c:pt>
              <c:pt idx="27">
                <c:v>14.386350121047144</c:v>
              </c:pt>
              <c:pt idx="28">
                <c:v>332.48416835098374</c:v>
              </c:pt>
              <c:pt idx="29">
                <c:v>-56.305650055386423</c:v>
              </c:pt>
              <c:pt idx="30">
                <c:v>41.337441006078961</c:v>
              </c:pt>
              <c:pt idx="31">
                <c:v>234.22547741302174</c:v>
              </c:pt>
              <c:pt idx="32">
                <c:v>-234.08899543615075</c:v>
              </c:pt>
              <c:pt idx="33">
                <c:v>-25.29757794723605</c:v>
              </c:pt>
              <c:pt idx="34">
                <c:v>-54.591432407681623</c:v>
              </c:pt>
              <c:pt idx="35">
                <c:v>-35.50168628589563</c:v>
              </c:pt>
              <c:pt idx="36">
                <c:v>-135.08899543615075</c:v>
              </c:pt>
              <c:pt idx="37">
                <c:v>74.597731026585279</c:v>
              </c:pt>
              <c:pt idx="38">
                <c:v>57.876240812001924</c:v>
              </c:pt>
              <c:pt idx="39">
                <c:v>287.38635012104714</c:v>
              </c:pt>
              <c:pt idx="40">
                <c:v>-281.24986814417593</c:v>
              </c:pt>
              <c:pt idx="41">
                <c:v>33.457876477922809</c:v>
              </c:pt>
              <c:pt idx="42">
                <c:v>-64.033213524940038</c:v>
              </c:pt>
              <c:pt idx="43">
                <c:v>262.30955005047372</c:v>
              </c:pt>
              <c:pt idx="44">
                <c:v>53.786494690215704</c:v>
              </c:pt>
              <c:pt idx="45">
                <c:v>61.926349238878174</c:v>
              </c:pt>
              <c:pt idx="46">
                <c:v>-9.4038680559592649</c:v>
              </c:pt>
              <c:pt idx="47">
                <c:v>179.76387744830845</c:v>
              </c:pt>
              <c:pt idx="48">
                <c:v>-274.98390463933561</c:v>
              </c:pt>
              <c:pt idx="49">
                <c:v>63.94736739824134</c:v>
              </c:pt>
              <c:pt idx="50">
                <c:v>-85.907504339398429</c:v>
              </c:pt>
              <c:pt idx="51">
                <c:v>296.47729555474143</c:v>
              </c:pt>
            </c:numLit>
          </c:val>
        </c:ser>
        <c:dLbls>
          <c:showLegendKey val="0"/>
          <c:showVal val="0"/>
          <c:showCatName val="0"/>
          <c:showSerName val="0"/>
          <c:showPercent val="0"/>
          <c:showBubbleSize val="0"/>
        </c:dLbls>
        <c:gapWidth val="25"/>
        <c:axId val="342741376"/>
        <c:axId val="342743296"/>
      </c:barChart>
      <c:catAx>
        <c:axId val="342741376"/>
        <c:scaling>
          <c:orientation val="minMax"/>
        </c:scaling>
        <c:delete val="0"/>
        <c:axPos val="b"/>
        <c:title>
          <c:tx>
            <c:rich>
              <a:bodyPr/>
              <a:lstStyle/>
              <a:p>
                <a:pPr>
                  <a:defRPr/>
                </a:pPr>
                <a:r>
                  <a:rPr lang="en-US"/>
                  <a:t>Observation #</a:t>
                </a:r>
              </a:p>
            </c:rich>
          </c:tx>
          <c:overlay val="0"/>
        </c:title>
        <c:numFmt formatCode="General" sourceLinked="1"/>
        <c:majorTickMark val="none"/>
        <c:minorTickMark val="none"/>
        <c:tickLblPos val="low"/>
        <c:txPr>
          <a:bodyPr rot="-5400000" vert="horz"/>
          <a:lstStyle/>
          <a:p>
            <a:pPr>
              <a:defRPr/>
            </a:pPr>
            <a:endParaRPr lang="en-US"/>
          </a:p>
        </c:txPr>
        <c:crossAx val="342743296"/>
        <c:crossesAt val="0"/>
        <c:auto val="1"/>
        <c:lblAlgn val="ctr"/>
        <c:lblOffset val="100"/>
        <c:noMultiLvlLbl val="0"/>
      </c:catAx>
      <c:valAx>
        <c:axId val="342743296"/>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34274137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Linear price-demand model for CASES_18PK    (1 variable, n=52)</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500.78139538322057</c:v>
              </c:pt>
              <c:pt idx="1">
                <c:v>77.598305203923928</c:v>
              </c:pt>
              <c:pt idx="2">
                <c:v>77.598305203923928</c:v>
              </c:pt>
              <c:pt idx="3">
                <c:v>77.598305203923928</c:v>
              </c:pt>
              <c:pt idx="4">
                <c:v>77.598305203923928</c:v>
              </c:pt>
              <c:pt idx="5">
                <c:v>77.598305203923928</c:v>
              </c:pt>
              <c:pt idx="6">
                <c:v>77.598305203923928</c:v>
              </c:pt>
              <c:pt idx="7">
                <c:v>70.15772339857358</c:v>
              </c:pt>
              <c:pt idx="8">
                <c:v>68.29757794723605</c:v>
              </c:pt>
              <c:pt idx="9">
                <c:v>68.29757794723605</c:v>
              </c:pt>
              <c:pt idx="10">
                <c:v>68.29757794723605</c:v>
              </c:pt>
              <c:pt idx="11">
                <c:v>68.29757794723605</c:v>
              </c:pt>
              <c:pt idx="12">
                <c:v>522.17306807360251</c:v>
              </c:pt>
              <c:pt idx="13">
                <c:v>484.97015904685122</c:v>
              </c:pt>
              <c:pt idx="14">
                <c:v>67.367505221567171</c:v>
              </c:pt>
              <c:pt idx="15">
                <c:v>66.43743249589852</c:v>
              </c:pt>
              <c:pt idx="16">
                <c:v>522.17306807360251</c:v>
              </c:pt>
              <c:pt idx="17">
                <c:v>497.06110448054528</c:v>
              </c:pt>
              <c:pt idx="18">
                <c:v>67.367505221567171</c:v>
              </c:pt>
              <c:pt idx="19">
                <c:v>71.087796124242459</c:v>
              </c:pt>
              <c:pt idx="20">
                <c:v>67.367505221567171</c:v>
              </c:pt>
              <c:pt idx="21">
                <c:v>67.367505221567171</c:v>
              </c:pt>
              <c:pt idx="22">
                <c:v>69.227650672904929</c:v>
              </c:pt>
              <c:pt idx="23">
                <c:v>68.29757794723605</c:v>
              </c:pt>
              <c:pt idx="24">
                <c:v>68.29757794723605</c:v>
              </c:pt>
              <c:pt idx="25">
                <c:v>68.29757794723605</c:v>
              </c:pt>
              <c:pt idx="26">
                <c:v>68.29757794723605</c:v>
              </c:pt>
              <c:pt idx="27">
                <c:v>529.61364987895286</c:v>
              </c:pt>
              <c:pt idx="28">
                <c:v>557.51583164901626</c:v>
              </c:pt>
              <c:pt idx="29">
                <c:v>427.30565005538642</c:v>
              </c:pt>
              <c:pt idx="30">
                <c:v>515.66255899392104</c:v>
              </c:pt>
              <c:pt idx="31">
                <c:v>540.77452258697826</c:v>
              </c:pt>
              <c:pt idx="32">
                <c:v>470.08899543615075</c:v>
              </c:pt>
              <c:pt idx="33">
                <c:v>68.29757794723605</c:v>
              </c:pt>
              <c:pt idx="34">
                <c:v>117.59143240768162</c:v>
              </c:pt>
              <c:pt idx="35">
                <c:v>504.50168628589563</c:v>
              </c:pt>
              <c:pt idx="36">
                <c:v>470.08899543615075</c:v>
              </c:pt>
              <c:pt idx="37">
                <c:v>0.40226897341472068</c:v>
              </c:pt>
              <c:pt idx="38">
                <c:v>403.12375918799808</c:v>
              </c:pt>
              <c:pt idx="39">
                <c:v>529.61364987895286</c:v>
              </c:pt>
              <c:pt idx="40">
                <c:v>481.24986814417593</c:v>
              </c:pt>
              <c:pt idx="41">
                <c:v>-1.4578764779228095</c:v>
              </c:pt>
              <c:pt idx="42">
                <c:v>524.03321352494004</c:v>
              </c:pt>
              <c:pt idx="43">
                <c:v>488.69044994952628</c:v>
              </c:pt>
              <c:pt idx="44">
                <c:v>16.213505309784296</c:v>
              </c:pt>
              <c:pt idx="45">
                <c:v>18.073650761121826</c:v>
              </c:pt>
              <c:pt idx="46">
                <c:v>532.40386805595926</c:v>
              </c:pt>
              <c:pt idx="47">
                <c:v>561.23612255169155</c:v>
              </c:pt>
              <c:pt idx="48">
                <c:v>404.98390463933561</c:v>
              </c:pt>
              <c:pt idx="49">
                <c:v>5.0526326017586598</c:v>
              </c:pt>
              <c:pt idx="50">
                <c:v>578.90750433939843</c:v>
              </c:pt>
              <c:pt idx="51">
                <c:v>517.52270444525857</c:v>
              </c:pt>
            </c:numLit>
          </c:xVal>
          <c:yVal>
            <c:numLit>
              <c:formatCode>General</c:formatCode>
              <c:ptCount val="52"/>
              <c:pt idx="0">
                <c:v>-61.78139538322057</c:v>
              </c:pt>
              <c:pt idx="1">
                <c:v>20.401694796076072</c:v>
              </c:pt>
              <c:pt idx="2">
                <c:v>-7.5983052039239283</c:v>
              </c:pt>
              <c:pt idx="3">
                <c:v>-25.598305203923928</c:v>
              </c:pt>
              <c:pt idx="4">
                <c:v>-13.598305203923928</c:v>
              </c:pt>
              <c:pt idx="5">
                <c:v>-5.5983052039239283</c:v>
              </c:pt>
              <c:pt idx="6">
                <c:v>-30.598305203923928</c:v>
              </c:pt>
              <c:pt idx="7">
                <c:v>14.84227660142642</c:v>
              </c:pt>
              <c:pt idx="8">
                <c:v>-9.29757794723605</c:v>
              </c:pt>
              <c:pt idx="9">
                <c:v>-5.29757794723605</c:v>
              </c:pt>
              <c:pt idx="10">
                <c:v>-11.29757794723605</c:v>
              </c:pt>
              <c:pt idx="11">
                <c:v>-14.29757794723605</c:v>
              </c:pt>
              <c:pt idx="12">
                <c:v>-118.17306807360251</c:v>
              </c:pt>
              <c:pt idx="13">
                <c:v>-104.97015904685122</c:v>
              </c:pt>
              <c:pt idx="14">
                <c:v>-2.3675052215671712</c:v>
              </c:pt>
              <c:pt idx="15">
                <c:v>-26.43743249589852</c:v>
              </c:pt>
              <c:pt idx="16">
                <c:v>-66.173068073602508</c:v>
              </c:pt>
              <c:pt idx="17">
                <c:v>-321.06110448054528</c:v>
              </c:pt>
              <c:pt idx="18">
                <c:v>-6.3675052215671712</c:v>
              </c:pt>
              <c:pt idx="19">
                <c:v>19.912203875757541</c:v>
              </c:pt>
              <c:pt idx="20">
                <c:v>-8.3675052215671712</c:v>
              </c:pt>
              <c:pt idx="21">
                <c:v>15.632494778432829</c:v>
              </c:pt>
              <c:pt idx="22">
                <c:v>-28.227650672904929</c:v>
              </c:pt>
              <c:pt idx="23">
                <c:v>-21.29757794723605</c:v>
              </c:pt>
              <c:pt idx="24">
                <c:v>15.70242205276395</c:v>
              </c:pt>
              <c:pt idx="25">
                <c:v>16.70242205276395</c:v>
              </c:pt>
              <c:pt idx="26">
                <c:v>47.70242205276395</c:v>
              </c:pt>
              <c:pt idx="27">
                <c:v>14.386350121047144</c:v>
              </c:pt>
              <c:pt idx="28">
                <c:v>332.48416835098374</c:v>
              </c:pt>
              <c:pt idx="29">
                <c:v>-56.305650055386423</c:v>
              </c:pt>
              <c:pt idx="30">
                <c:v>41.337441006078961</c:v>
              </c:pt>
              <c:pt idx="31">
                <c:v>234.22547741302174</c:v>
              </c:pt>
              <c:pt idx="32">
                <c:v>-234.08899543615075</c:v>
              </c:pt>
              <c:pt idx="33">
                <c:v>-25.29757794723605</c:v>
              </c:pt>
              <c:pt idx="34">
                <c:v>-54.591432407681623</c:v>
              </c:pt>
              <c:pt idx="35">
                <c:v>-35.50168628589563</c:v>
              </c:pt>
              <c:pt idx="36">
                <c:v>-135.08899543615075</c:v>
              </c:pt>
              <c:pt idx="37">
                <c:v>74.597731026585279</c:v>
              </c:pt>
              <c:pt idx="38">
                <c:v>57.876240812001924</c:v>
              </c:pt>
              <c:pt idx="39">
                <c:v>287.38635012104714</c:v>
              </c:pt>
              <c:pt idx="40">
                <c:v>-281.24986814417593</c:v>
              </c:pt>
              <c:pt idx="41">
                <c:v>33.457876477922809</c:v>
              </c:pt>
              <c:pt idx="42">
                <c:v>-64.033213524940038</c:v>
              </c:pt>
              <c:pt idx="43">
                <c:v>262.30955005047372</c:v>
              </c:pt>
              <c:pt idx="44">
                <c:v>53.786494690215704</c:v>
              </c:pt>
              <c:pt idx="45">
                <c:v>61.926349238878174</c:v>
              </c:pt>
              <c:pt idx="46">
                <c:v>-9.4038680559592649</c:v>
              </c:pt>
              <c:pt idx="47">
                <c:v>179.76387744830845</c:v>
              </c:pt>
              <c:pt idx="48">
                <c:v>-274.98390463933561</c:v>
              </c:pt>
              <c:pt idx="49">
                <c:v>63.94736739824134</c:v>
              </c:pt>
              <c:pt idx="50">
                <c:v>-85.907504339398429</c:v>
              </c:pt>
              <c:pt idx="51">
                <c:v>296.47729555474143</c:v>
              </c:pt>
            </c:numLit>
          </c:yVal>
          <c:smooth val="0"/>
        </c:ser>
        <c:dLbls>
          <c:showLegendKey val="0"/>
          <c:showVal val="0"/>
          <c:showCatName val="0"/>
          <c:showSerName val="0"/>
          <c:showPercent val="0"/>
          <c:showBubbleSize val="0"/>
        </c:dLbls>
        <c:axId val="342828928"/>
        <c:axId val="342839680"/>
      </c:scatterChart>
      <c:valAx>
        <c:axId val="342828928"/>
        <c:scaling>
          <c:orientation val="minMax"/>
        </c:scaling>
        <c:delete val="0"/>
        <c:axPos val="b"/>
        <c:title>
          <c:tx>
            <c:rich>
              <a:bodyPr/>
              <a:lstStyle/>
              <a:p>
                <a:pPr>
                  <a:defRPr/>
                </a:pPr>
                <a:r>
                  <a:rPr lang="en-US"/>
                  <a:t>Predicted</a:t>
                </a:r>
              </a:p>
            </c:rich>
          </c:tx>
          <c:overlay val="0"/>
        </c:title>
        <c:numFmt formatCode="General" sourceLinked="1"/>
        <c:majorTickMark val="out"/>
        <c:minorTickMark val="none"/>
        <c:tickLblPos val="nextTo"/>
        <c:crossAx val="342839680"/>
        <c:crossesAt val="-400"/>
        <c:crossBetween val="midCat"/>
      </c:valAx>
      <c:valAx>
        <c:axId val="342839680"/>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342828928"/>
        <c:crossesAt val="-10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Linear price-demand model for CASES_18PK    (1 variable, n=52)</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-340</c:v>
              </c:pt>
              <c:pt idx="1">
                <c:v>-306</c:v>
              </c:pt>
              <c:pt idx="2">
                <c:v>-272</c:v>
              </c:pt>
              <c:pt idx="3">
                <c:v>-238</c:v>
              </c:pt>
              <c:pt idx="4">
                <c:v>-204</c:v>
              </c:pt>
              <c:pt idx="5">
                <c:v>-170</c:v>
              </c:pt>
              <c:pt idx="6">
                <c:v>-136</c:v>
              </c:pt>
              <c:pt idx="7">
                <c:v>-102</c:v>
              </c:pt>
              <c:pt idx="8">
                <c:v>-68</c:v>
              </c:pt>
              <c:pt idx="9">
                <c:v>-34</c:v>
              </c:pt>
              <c:pt idx="10">
                <c:v>0</c:v>
              </c:pt>
              <c:pt idx="11">
                <c:v>34</c:v>
              </c:pt>
              <c:pt idx="12">
                <c:v>68</c:v>
              </c:pt>
              <c:pt idx="13">
                <c:v>102</c:v>
              </c:pt>
              <c:pt idx="14">
                <c:v>136</c:v>
              </c:pt>
              <c:pt idx="15">
                <c:v>170</c:v>
              </c:pt>
              <c:pt idx="16">
                <c:v>204</c:v>
              </c:pt>
              <c:pt idx="17">
                <c:v>238</c:v>
              </c:pt>
              <c:pt idx="18">
                <c:v>272</c:v>
              </c:pt>
              <c:pt idx="19">
                <c:v>306</c:v>
              </c:pt>
              <c:pt idx="20">
                <c:v>340</c:v>
              </c:pt>
            </c:strLit>
          </c:cat>
          <c:val>
            <c:numLit>
              <c:formatCode>General</c:formatCode>
              <c:ptCount val="21"/>
              <c:pt idx="0">
                <c:v>0</c:v>
              </c:pt>
              <c:pt idx="1">
                <c:v>1</c:v>
              </c:pt>
              <c:pt idx="2">
                <c:v>2</c:v>
              </c:pt>
              <c:pt idx="3">
                <c:v>1</c:v>
              </c:pt>
              <c:pt idx="4">
                <c:v>0</c:v>
              </c:pt>
              <c:pt idx="5">
                <c:v>0</c:v>
              </c:pt>
              <c:pt idx="6">
                <c:v>1</c:v>
              </c:pt>
              <c:pt idx="7">
                <c:v>3</c:v>
              </c:pt>
              <c:pt idx="8">
                <c:v>5</c:v>
              </c:pt>
              <c:pt idx="9">
                <c:v>7</c:v>
              </c:pt>
              <c:pt idx="10">
                <c:v>16</c:v>
              </c:pt>
              <c:pt idx="11">
                <c:v>5</c:v>
              </c:pt>
              <c:pt idx="12">
                <c:v>5</c:v>
              </c:pt>
              <c:pt idx="13">
                <c:v>0</c:v>
              </c:pt>
              <c:pt idx="14">
                <c:v>0</c:v>
              </c:pt>
              <c:pt idx="15">
                <c:v>1</c:v>
              </c:pt>
              <c:pt idx="16">
                <c:v>0</c:v>
              </c:pt>
              <c:pt idx="17">
                <c:v>1</c:v>
              </c:pt>
              <c:pt idx="18">
                <c:v>2</c:v>
              </c:pt>
              <c:pt idx="19">
                <c:v>1</c:v>
              </c:pt>
              <c:pt idx="20">
                <c:v>1</c:v>
              </c:pt>
            </c:numLit>
          </c:val>
        </c:ser>
        <c:ser>
          <c:idx val="1"/>
          <c:order val="1"/>
          <c:tx>
            <c:v>Theoretical</c:v>
          </c:tx>
          <c:spPr>
            <a:solidFill>
              <a:srgbClr val="FFD2D2"/>
            </a:solidFill>
            <a:ln w="9525">
              <a:solidFill>
                <a:srgbClr val="FF0000"/>
              </a:solidFill>
              <a:prstDash val="solid"/>
            </a:ln>
          </c:spPr>
          <c:invertIfNegative val="0"/>
          <c:cat>
            <c:strLit>
              <c:ptCount val="21"/>
              <c:pt idx="0">
                <c:v>-340</c:v>
              </c:pt>
              <c:pt idx="1">
                <c:v>-306</c:v>
              </c:pt>
              <c:pt idx="2">
                <c:v>-272</c:v>
              </c:pt>
              <c:pt idx="3">
                <c:v>-238</c:v>
              </c:pt>
              <c:pt idx="4">
                <c:v>-204</c:v>
              </c:pt>
              <c:pt idx="5">
                <c:v>-170</c:v>
              </c:pt>
              <c:pt idx="6">
                <c:v>-136</c:v>
              </c:pt>
              <c:pt idx="7">
                <c:v>-102</c:v>
              </c:pt>
              <c:pt idx="8">
                <c:v>-68</c:v>
              </c:pt>
              <c:pt idx="9">
                <c:v>-34</c:v>
              </c:pt>
              <c:pt idx="10">
                <c:v>0</c:v>
              </c:pt>
              <c:pt idx="11">
                <c:v>34</c:v>
              </c:pt>
              <c:pt idx="12">
                <c:v>68</c:v>
              </c:pt>
              <c:pt idx="13">
                <c:v>102</c:v>
              </c:pt>
              <c:pt idx="14">
                <c:v>136</c:v>
              </c:pt>
              <c:pt idx="15">
                <c:v>170</c:v>
              </c:pt>
              <c:pt idx="16">
                <c:v>204</c:v>
              </c:pt>
              <c:pt idx="17">
                <c:v>238</c:v>
              </c:pt>
              <c:pt idx="18">
                <c:v>272</c:v>
              </c:pt>
              <c:pt idx="19">
                <c:v>306</c:v>
              </c:pt>
              <c:pt idx="20">
                <c:v>340</c:v>
              </c:pt>
            </c:strLit>
          </c:cat>
          <c:val>
            <c:numLit>
              <c:formatCode>General</c:formatCode>
              <c:ptCount val="21"/>
              <c:pt idx="0">
                <c:v>0.17440063959673308</c:v>
              </c:pt>
              <c:pt idx="1">
                <c:v>0.33531193550808597</c:v>
              </c:pt>
              <c:pt idx="2">
                <c:v>0.60181578915286915</c:v>
              </c:pt>
              <c:pt idx="3">
                <c:v>1.0083062303546855</c:v>
              </c:pt>
              <c:pt idx="4">
                <c:v>1.5770164995140536</c:v>
              </c:pt>
              <c:pt idx="5">
                <c:v>2.3024778683730776</c:v>
              </c:pt>
              <c:pt idx="6">
                <c:v>3.1381274719933119</c:v>
              </c:pt>
              <c:pt idx="7">
                <c:v>3.9926565591433256</c:v>
              </c:pt>
              <c:pt idx="8">
                <c:v>4.742090882320678</c:v>
              </c:pt>
              <c:pt idx="9">
                <c:v>5.2576847417144208</c:v>
              </c:pt>
              <c:pt idx="10">
                <c:v>5.441718651971911</c:v>
              </c:pt>
              <c:pt idx="11">
                <c:v>5.2576847417144208</c:v>
              </c:pt>
              <c:pt idx="12">
                <c:v>4.7420908823206815</c:v>
              </c:pt>
              <c:pt idx="13">
                <c:v>3.9926565591433274</c:v>
              </c:pt>
              <c:pt idx="14">
                <c:v>3.1381274719933074</c:v>
              </c:pt>
              <c:pt idx="15">
                <c:v>2.3024778683730744</c:v>
              </c:pt>
              <c:pt idx="16">
                <c:v>1.577016499514059</c:v>
              </c:pt>
              <c:pt idx="17">
                <c:v>1.0083062303546768</c:v>
              </c:pt>
              <c:pt idx="18">
                <c:v>0.60181578915287304</c:v>
              </c:pt>
              <c:pt idx="19">
                <c:v>0.3353119355080878</c:v>
              </c:pt>
              <c:pt idx="20">
                <c:v>0.17440063959673324</c:v>
              </c:pt>
            </c:numLit>
          </c:val>
        </c:ser>
        <c:dLbls>
          <c:showLegendKey val="0"/>
          <c:showVal val="0"/>
          <c:showCatName val="0"/>
          <c:showSerName val="0"/>
          <c:showPercent val="0"/>
          <c:showBubbleSize val="0"/>
        </c:dLbls>
        <c:gapWidth val="50"/>
        <c:axId val="342853504"/>
        <c:axId val="342855680"/>
      </c:barChart>
      <c:catAx>
        <c:axId val="342853504"/>
        <c:scaling>
          <c:orientation val="minMax"/>
        </c:scaling>
        <c:delete val="0"/>
        <c:axPos val="b"/>
        <c:title>
          <c:tx>
            <c:rich>
              <a:bodyPr/>
              <a:lstStyle/>
              <a:p>
                <a:pPr>
                  <a:defRPr/>
                </a:pPr>
                <a:r>
                  <a:rPr lang="en-US"/>
                  <a:t>Residual Range
</a:t>
                </a:r>
                <a:r>
                  <a:rPr lang="en-US" sz="750"/>
                  <a:t>Adjusted Anderson-Darling statistic is 2.591 (P=0)</a:t>
                </a:r>
              </a:p>
            </c:rich>
          </c:tx>
          <c:overlay val="0"/>
        </c:title>
        <c:majorTickMark val="out"/>
        <c:minorTickMark val="none"/>
        <c:tickLblPos val="nextTo"/>
        <c:crossAx val="342855680"/>
        <c:crosses val="autoZero"/>
        <c:auto val="1"/>
        <c:lblAlgn val="ctr"/>
        <c:lblOffset val="100"/>
        <c:noMultiLvlLbl val="0"/>
      </c:catAx>
      <c:valAx>
        <c:axId val="342855680"/>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342853504"/>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Linear price-demand model for CASES_18PK    (1 variable, n=52)</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-2.4841758952215498</c:v>
              </c:pt>
              <c:pt idx="1">
                <c:v>-2.1761407197187825</c:v>
              </c:pt>
              <c:pt idx="2">
                <c:v>-2.1276584984785405</c:v>
              </c:pt>
              <c:pt idx="3">
                <c:v>-1.8112385202809587</c:v>
              </c:pt>
              <c:pt idx="4">
                <c:v>-1.0452366278223977</c:v>
              </c:pt>
              <c:pt idx="5">
                <c:v>-0.9143514523435744</c:v>
              </c:pt>
              <c:pt idx="6">
                <c:v>-0.81219535839963797</c:v>
              </c:pt>
              <c:pt idx="7">
                <c:v>-0.66470011010475982</c:v>
              </c:pt>
              <c:pt idx="8">
                <c:v>-0.512007023981502</c:v>
              </c:pt>
              <c:pt idx="9">
                <c:v>-0.49545012868997157</c:v>
              </c:pt>
              <c:pt idx="10">
                <c:v>-0.47802692709371264</c:v>
              </c:pt>
              <c:pt idx="11">
                <c:v>-0.43565893432864117</c:v>
              </c:pt>
              <c:pt idx="12">
                <c:v>-0.42239535895260338</c:v>
              </c:pt>
              <c:pt idx="13">
                <c:v>-0.27469049374208271</c:v>
              </c:pt>
              <c:pt idx="14">
                <c:v>-0.23675110800232688</c:v>
              </c:pt>
              <c:pt idx="15">
                <c:v>-0.21840842257681156</c:v>
              </c:pt>
              <c:pt idx="16">
                <c:v>-0.20455680124852244</c:v>
              </c:pt>
              <c:pt idx="17">
                <c:v>-0.198064143736743</c:v>
              </c:pt>
              <c:pt idx="18">
                <c:v>-0.19573729881010879</c:v>
              </c:pt>
              <c:pt idx="19">
                <c:v>-0.16478772739764169</c:v>
              </c:pt>
              <c:pt idx="20">
                <c:v>-0.11062597742582425</c:v>
              </c:pt>
              <c:pt idx="21">
                <c:v>-0.10521542949934168</c:v>
              </c:pt>
              <c:pt idx="22">
                <c:v>-8.7413798866473921E-2</c:v>
              </c:pt>
              <c:pt idx="23">
                <c:v>-7.2761421487832378E-2</c:v>
              </c:pt>
              <c:pt idx="24">
                <c:v>-7.1939013160240359E-2</c:v>
              </c:pt>
              <c:pt idx="25">
                <c:v>-6.4742675099771135E-2</c:v>
              </c:pt>
              <c:pt idx="26">
                <c:v>-5.8791072380641012E-2</c:v>
              </c:pt>
              <c:pt idx="27">
                <c:v>-4.9267889393537587E-2</c:v>
              </c:pt>
              <c:pt idx="28">
                <c:v>-4.3316286674407463E-2</c:v>
              </c:pt>
              <c:pt idx="29">
                <c:v>-4.0989441747773254E-2</c:v>
              </c:pt>
              <c:pt idx="30">
                <c:v>-1.8318317981070482E-2</c:v>
              </c:pt>
              <c:pt idx="31">
                <c:v>0.11131284260902585</c:v>
              </c:pt>
              <c:pt idx="32">
                <c:v>0.11484052489985914</c:v>
              </c:pt>
              <c:pt idx="33">
                <c:v>0.1209547533750315</c:v>
              </c:pt>
              <c:pt idx="34">
                <c:v>0.12149580816767905</c:v>
              </c:pt>
              <c:pt idx="35">
                <c:v>0.12923320102079583</c:v>
              </c:pt>
              <c:pt idx="36">
                <c:v>0.15406854395809058</c:v>
              </c:pt>
              <c:pt idx="37">
                <c:v>0.15785592750662872</c:v>
              </c:pt>
              <c:pt idx="38">
                <c:v>0.25887673434074387</c:v>
              </c:pt>
              <c:pt idx="39">
                <c:v>0.31984402060657174</c:v>
              </c:pt>
              <c:pt idx="40">
                <c:v>0.36909237946741591</c:v>
              </c:pt>
              <c:pt idx="41">
                <c:v>0.41616723961027846</c:v>
              </c:pt>
              <c:pt idx="42">
                <c:v>0.44781121202404922</c:v>
              </c:pt>
              <c:pt idx="43">
                <c:v>0.47914849202050952</c:v>
              </c:pt>
              <c:pt idx="44">
                <c:v>0.49478590348278528</c:v>
              </c:pt>
              <c:pt idx="45">
                <c:v>0.57719195090382858</c:v>
              </c:pt>
              <c:pt idx="46">
                <c:v>1.3909037406171019</c:v>
              </c:pt>
              <c:pt idx="47">
                <c:v>1.8122945349533794</c:v>
              </c:pt>
              <c:pt idx="48">
                <c:v>2.0295920378648127</c:v>
              </c:pt>
              <c:pt idx="49">
                <c:v>2.2236210915099059</c:v>
              </c:pt>
              <c:pt idx="50">
                <c:v>2.2939613077366467</c:v>
              </c:pt>
              <c:pt idx="51">
                <c:v>2.5725606279733766</c:v>
              </c:pt>
            </c:numLit>
          </c:yVal>
          <c:smooth val="0"/>
        </c:ser>
        <c:ser>
          <c:idx val="1"/>
          <c:order val="1"/>
          <c:tx>
            <c:v>Theoretical</c:v>
          </c:tx>
          <c:spPr>
            <a:ln w="12700">
              <a:solidFill>
                <a:srgbClr val="FF0000"/>
              </a:solidFill>
              <a:prstDash val="solid"/>
            </a:ln>
          </c:spPr>
          <c:marker>
            <c:symbol val="none"/>
          </c:marker>
          <c:x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xVal>
          <c:yVal>
            <c:numLit>
              <c:formatCode>General</c:formatCode>
              <c:ptCount val="52"/>
              <c:pt idx="0">
                <c:v>-2.0777124782407714</c:v>
              </c:pt>
              <c:pt idx="1">
                <c:v>-1.7775870750733924</c:v>
              </c:pt>
              <c:pt idx="2">
                <c:v>-1.5839392375511274</c:v>
              </c:pt>
              <c:pt idx="3">
                <c:v>-1.4362071811547947</c:v>
              </c:pt>
              <c:pt idx="4">
                <c:v>-1.3144962914678755</c:v>
              </c:pt>
              <c:pt idx="5">
                <c:v>-1.2096451263823649</c:v>
              </c:pt>
              <c:pt idx="6">
                <c:v>-1.1166337770208408</c:v>
              </c:pt>
              <c:pt idx="7">
                <c:v>-1.0323956851649068</c:v>
              </c:pt>
              <c:pt idx="8">
                <c:v>-0.95491112855399463</c:v>
              </c:pt>
              <c:pt idx="9">
                <c:v>-0.88277381551731693</c:v>
              </c:pt>
              <c:pt idx="10">
                <c:v>-0.8149615148503293</c:v>
              </c:pt>
              <c:pt idx="11">
                <c:v>-0.75070504080886336</c:v>
              </c:pt>
              <c:pt idx="12">
                <c:v>-0.68940881497844719</c:v>
              </c:pt>
              <c:pt idx="13">
                <c:v>-0.63060032426367119</c:v>
              </c:pt>
              <c:pt idx="14">
                <c:v>-0.57389665634818721</c:v>
              </c:pt>
              <c:pt idx="15">
                <c:v>-0.51898158221119606</c:v>
              </c:pt>
              <c:pt idx="16">
                <c:v>-0.4655893969438375</c:v>
              </c:pt>
              <c:pt idx="17">
                <c:v>-0.41349322793025606</c:v>
              </c:pt>
              <c:pt idx="18">
                <c:v>-0.36249637481379865</c:v>
              </c:pt>
              <c:pt idx="19">
                <c:v>-0.31242575299671549</c:v>
              </c:pt>
              <c:pt idx="20">
                <c:v>-0.2631268232958871</c:v>
              </c:pt>
              <c:pt idx="21">
                <c:v>-0.21445958627222853</c:v>
              </c:pt>
              <c:pt idx="22">
                <c:v>-0.16629534613509689</c:v>
              </c:pt>
              <c:pt idx="23">
                <c:v>-0.11851403220679797</c:v>
              </c:pt>
              <c:pt idx="24">
                <c:v>-7.1001921250568145E-2</c:v>
              </c:pt>
              <c:pt idx="25">
                <c:v>-2.3649640930619265E-2</c:v>
              </c:pt>
              <c:pt idx="26">
                <c:v>2.3649640930619265E-2</c:v>
              </c:pt>
              <c:pt idx="27">
                <c:v>7.1001921250568145E-2</c:v>
              </c:pt>
              <c:pt idx="28">
                <c:v>0.11851403220679797</c:v>
              </c:pt>
              <c:pt idx="29">
                <c:v>0.16629534613509689</c:v>
              </c:pt>
              <c:pt idx="30">
                <c:v>0.21445958627222853</c:v>
              </c:pt>
              <c:pt idx="31">
                <c:v>0.2631268232958871</c:v>
              </c:pt>
              <c:pt idx="32">
                <c:v>0.31242575299671549</c:v>
              </c:pt>
              <c:pt idx="33">
                <c:v>0.36249637481379843</c:v>
              </c:pt>
              <c:pt idx="34">
                <c:v>0.41349322793025589</c:v>
              </c:pt>
              <c:pt idx="35">
                <c:v>0.46558939694383744</c:v>
              </c:pt>
              <c:pt idx="36">
                <c:v>0.51898158221119584</c:v>
              </c:pt>
              <c:pt idx="37">
                <c:v>0.5738966563481871</c:v>
              </c:pt>
              <c:pt idx="38">
                <c:v>0.63060032426367107</c:v>
              </c:pt>
              <c:pt idx="39">
                <c:v>0.6894088149784473</c:v>
              </c:pt>
              <c:pt idx="40">
                <c:v>0.75070504080886302</c:v>
              </c:pt>
              <c:pt idx="41">
                <c:v>0.81496151485032953</c:v>
              </c:pt>
              <c:pt idx="42">
                <c:v>0.88277381551731771</c:v>
              </c:pt>
              <c:pt idx="43">
                <c:v>0.95491112855399463</c:v>
              </c:pt>
              <c:pt idx="44">
                <c:v>1.0323956851649068</c:v>
              </c:pt>
              <c:pt idx="45">
                <c:v>1.1166337770208408</c:v>
              </c:pt>
              <c:pt idx="46">
                <c:v>1.2096451263823649</c:v>
              </c:pt>
              <c:pt idx="47">
                <c:v>1.3144962914678755</c:v>
              </c:pt>
              <c:pt idx="48">
                <c:v>1.4362071811547947</c:v>
              </c:pt>
              <c:pt idx="49">
                <c:v>1.5839392375511274</c:v>
              </c:pt>
              <c:pt idx="50">
                <c:v>1.7775870750733924</c:v>
              </c:pt>
              <c:pt idx="51">
                <c:v>2.0777124782407714</c:v>
              </c:pt>
            </c:numLit>
          </c:yVal>
          <c:smooth val="0"/>
        </c:ser>
        <c:dLbls>
          <c:showLegendKey val="0"/>
          <c:showVal val="0"/>
          <c:showCatName val="0"/>
          <c:showSerName val="0"/>
          <c:showPercent val="0"/>
          <c:showBubbleSize val="0"/>
        </c:dLbls>
        <c:axId val="342868352"/>
        <c:axId val="342870272"/>
      </c:scatterChart>
      <c:valAx>
        <c:axId val="342868352"/>
        <c:scaling>
          <c:orientation val="minMax"/>
        </c:scaling>
        <c:delete val="0"/>
        <c:axPos val="b"/>
        <c:title>
          <c:tx>
            <c:rich>
              <a:bodyPr/>
              <a:lstStyle/>
              <a:p>
                <a:pPr>
                  <a:defRPr/>
                </a:pPr>
                <a:r>
                  <a:rPr lang="en-US"/>
                  <a:t>Theoretical Standardized Residual
</a:t>
                </a:r>
                <a:r>
                  <a:rPr lang="en-US" sz="750"/>
                  <a:t>Adjusted Anderson-Darling statistic is 2.591 (P=0)</a:t>
                </a:r>
              </a:p>
            </c:rich>
          </c:tx>
          <c:overlay val="0"/>
        </c:title>
        <c:numFmt formatCode="General" sourceLinked="1"/>
        <c:majorTickMark val="out"/>
        <c:minorTickMark val="none"/>
        <c:tickLblPos val="nextTo"/>
        <c:crossAx val="342870272"/>
        <c:crosses val="autoZero"/>
        <c:crossBetween val="midCat"/>
      </c:valAx>
      <c:valAx>
        <c:axId val="342870272"/>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342868352"/>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Forecasts from 18-pack linear model</a:t>
            </a:r>
          </a:p>
        </c:rich>
      </c:tx>
      <c:layout/>
      <c:overlay val="1"/>
    </c:title>
    <c:autoTitleDeleted val="0"/>
    <c:plotArea>
      <c:layout>
        <c:manualLayout>
          <c:layoutTarget val="inner"/>
          <c:xMode val="edge"/>
          <c:yMode val="edge"/>
          <c:x val="0.12882159775413851"/>
          <c:y val="9.2801604392352841E-2"/>
          <c:w val="0.81267879336565529"/>
          <c:h val="0.77710825812744166"/>
        </c:manualLayout>
      </c:layout>
      <c:scatterChart>
        <c:scatterStyle val="smoothMarker"/>
        <c:varyColors val="0"/>
        <c:ser>
          <c:idx val="0"/>
          <c:order val="0"/>
          <c:tx>
            <c:strRef>
              <c:f>'Linear price-demand model'!$O$51</c:f>
              <c:strCache>
                <c:ptCount val="1"/>
                <c:pt idx="0">
                  <c:v>Forecast</c:v>
                </c:pt>
              </c:strCache>
            </c:strRef>
          </c:tx>
          <c:spPr>
            <a:ln>
              <a:solidFill>
                <a:srgbClr val="FF0000"/>
              </a:solidFill>
            </a:ln>
          </c:spPr>
          <c:marker>
            <c:symbol val="none"/>
          </c:marker>
          <c:xVal>
            <c:numRef>
              <c:f>'Linear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'Linear price-demand model'!$O$52:$O$118</c:f>
              <c:numCache>
                <c:formatCode>#,##0.000</c:formatCode>
                <c:ptCount val="67"/>
                <c:pt idx="0">
                  <c:v>603.08939520678678</c:v>
                </c:pt>
                <c:pt idx="1">
                  <c:v>556.58575892334761</c:v>
                </c:pt>
                <c:pt idx="2">
                  <c:v>510.08212263990822</c:v>
                </c:pt>
                <c:pt idx="3">
                  <c:v>463.57848635646906</c:v>
                </c:pt>
                <c:pt idx="4">
                  <c:v>417.07485007302989</c:v>
                </c:pt>
                <c:pt idx="5">
                  <c:v>370.57121378959073</c:v>
                </c:pt>
                <c:pt idx="6">
                  <c:v>324.06757750615157</c:v>
                </c:pt>
                <c:pt idx="7">
                  <c:v>277.5639412227124</c:v>
                </c:pt>
                <c:pt idx="8">
                  <c:v>231.06030493927324</c:v>
                </c:pt>
                <c:pt idx="9">
                  <c:v>184.55666865583407</c:v>
                </c:pt>
                <c:pt idx="10">
                  <c:v>138.05303237239491</c:v>
                </c:pt>
                <c:pt idx="11">
                  <c:v>91.549396088955518</c:v>
                </c:pt>
                <c:pt idx="12">
                  <c:v>45.045759805516354</c:v>
                </c:pt>
                <c:pt idx="13">
                  <c:v>-1.4578764779228095</c:v>
                </c:pt>
                <c:pt idx="14">
                  <c:v>-47.961512761361973</c:v>
                </c:pt>
              </c:numCache>
            </c:numRef>
          </c:yVal>
          <c:smooth val="1"/>
        </c:ser>
        <c:ser>
          <c:idx val="1"/>
          <c:order val="1"/>
          <c:tx>
            <c:strRef>
              <c:f>'Linear price-demand model'!$P$51</c:f>
              <c:strCache>
                <c:ptCount val="1"/>
                <c:pt idx="0">
                  <c:v>Lower95%F</c:v>
                </c:pt>
              </c:strCache>
            </c:strRef>
          </c:tx>
          <c:spPr>
            <a:ln>
              <a:solidFill>
                <a:srgbClr val="FF0000"/>
              </a:solidFill>
              <a:prstDash val="dash"/>
            </a:ln>
          </c:spPr>
          <c:marker>
            <c:symbol val="none"/>
          </c:marker>
          <c:xVal>
            <c:numRef>
              <c:f>'Linear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'Linear price-demand model'!$P$52:$P$118</c:f>
              <c:numCache>
                <c:formatCode>#,##0.000</c:formatCode>
                <c:ptCount val="67"/>
                <c:pt idx="0">
                  <c:v>332.39873011592135</c:v>
                </c:pt>
                <c:pt idx="1">
                  <c:v>287.38716707414505</c:v>
                </c:pt>
                <c:pt idx="2">
                  <c:v>242.16749544413295</c:v>
                </c:pt>
                <c:pt idx="3">
                  <c:v>196.73671113581838</c:v>
                </c:pt>
                <c:pt idx="4">
                  <c:v>151.09225954131</c:v>
                </c:pt>
                <c:pt idx="5">
                  <c:v>105.23206504854988</c:v>
                </c:pt>
                <c:pt idx="6">
                  <c:v>59.154555612407933</c:v>
                </c:pt>
                <c:pt idx="7">
                  <c:v>12.858681719374772</c:v>
                </c:pt>
                <c:pt idx="8">
                  <c:v>-33.656070780444566</c:v>
                </c:pt>
                <c:pt idx="9">
                  <c:v>-80.389674336922837</c:v>
                </c:pt>
                <c:pt idx="10">
                  <c:v>-127.34156004027597</c:v>
                </c:pt>
                <c:pt idx="11">
                  <c:v>-174.51062462843652</c:v>
                </c:pt>
                <c:pt idx="12">
                  <c:v>-221.89524396121436</c:v>
                </c:pt>
                <c:pt idx="13">
                  <c:v>-269.49329258079479</c:v>
                </c:pt>
                <c:pt idx="14">
                  <c:v>-317.30216881701392</c:v>
                </c:pt>
              </c:numCache>
            </c:numRef>
          </c:yVal>
          <c:smooth val="1"/>
        </c:ser>
        <c:ser>
          <c:idx val="2"/>
          <c:order val="2"/>
          <c:tx>
            <c:strRef>
              <c:f>'Linear price-demand model'!$Q$51</c:f>
              <c:strCache>
                <c:ptCount val="1"/>
                <c:pt idx="0">
                  <c:v>Upper95%F</c:v>
                </c:pt>
              </c:strCache>
            </c:strRef>
          </c:tx>
          <c:spPr>
            <a:ln>
              <a:solidFill>
                <a:srgbClr val="FF0000"/>
              </a:solidFill>
              <a:prstDash val="dash"/>
            </a:ln>
          </c:spPr>
          <c:marker>
            <c:symbol val="none"/>
          </c:marker>
          <c:xVal>
            <c:numRef>
              <c:f>'Linear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'Linear price-demand model'!$Q$52:$Q$118</c:f>
              <c:numCache>
                <c:formatCode>#,##0.000</c:formatCode>
                <c:ptCount val="67"/>
                <c:pt idx="0">
                  <c:v>873.7800602976522</c:v>
                </c:pt>
                <c:pt idx="1">
                  <c:v>825.78435077255017</c:v>
                </c:pt>
                <c:pt idx="2">
                  <c:v>777.99674983568343</c:v>
                </c:pt>
                <c:pt idx="3">
                  <c:v>730.42026157711973</c:v>
                </c:pt>
                <c:pt idx="4">
                  <c:v>683.05744060474979</c:v>
                </c:pt>
                <c:pt idx="5">
                  <c:v>635.91036253063157</c:v>
                </c:pt>
                <c:pt idx="6">
                  <c:v>588.98059939989525</c:v>
                </c:pt>
                <c:pt idx="7">
                  <c:v>542.26920072605003</c:v>
                </c:pt>
                <c:pt idx="8">
                  <c:v>495.77668065899104</c:v>
                </c:pt>
                <c:pt idx="9">
                  <c:v>449.50301164859098</c:v>
                </c:pt>
                <c:pt idx="10">
                  <c:v>403.44762478506578</c:v>
                </c:pt>
                <c:pt idx="11">
                  <c:v>357.60941680634755</c:v>
                </c:pt>
                <c:pt idx="12">
                  <c:v>311.98676357224707</c:v>
                </c:pt>
                <c:pt idx="13">
                  <c:v>266.57753962494917</c:v>
                </c:pt>
                <c:pt idx="14">
                  <c:v>221.37914329428997</c:v>
                </c:pt>
              </c:numCache>
            </c:numRef>
          </c:yVal>
          <c:smooth val="1"/>
        </c:ser>
        <c:ser>
          <c:idx val="3"/>
          <c:order val="3"/>
          <c:tx>
            <c:strRef>
              <c:f>'Linear price-demand model'!$R$51</c:f>
              <c:strCache>
                <c:ptCount val="1"/>
                <c:pt idx="0">
                  <c:v>Actual</c:v>
                </c:pt>
              </c:strCache>
            </c:strRef>
          </c:tx>
          <c:spPr>
            <a:ln>
              <a:noFill/>
            </a:ln>
          </c:spPr>
          <c:marker>
            <c:symbol val="diamond"/>
            <c:size val="7"/>
            <c:spPr>
              <a:solidFill>
                <a:srgbClr val="9999FF"/>
              </a:solidFill>
              <a:ln>
                <a:solidFill>
                  <a:srgbClr val="0000FF"/>
                </a:solidFill>
              </a:ln>
            </c:spPr>
          </c:marker>
          <c:xVal>
            <c:numRef>
              <c:f>'Linear price-demand model'!$N$52:$N$118</c:f>
              <c:numCache>
                <c:formatCode>"$"#,##0.00</c:formatCode>
                <c:ptCount val="67"/>
                <c:pt idx="0">
                  <c:v>13</c:v>
                </c:pt>
                <c:pt idx="1">
                  <c:v>13.5</c:v>
                </c:pt>
                <c:pt idx="2">
                  <c:v>14</c:v>
                </c:pt>
                <c:pt idx="3">
                  <c:v>14.5</c:v>
                </c:pt>
                <c:pt idx="4">
                  <c:v>15</c:v>
                </c:pt>
                <c:pt idx="5">
                  <c:v>15.5</c:v>
                </c:pt>
                <c:pt idx="6">
                  <c:v>16</c:v>
                </c:pt>
                <c:pt idx="7">
                  <c:v>16.5</c:v>
                </c:pt>
                <c:pt idx="8">
                  <c:v>17</c:v>
                </c:pt>
                <c:pt idx="9">
                  <c:v>17.5</c:v>
                </c:pt>
                <c:pt idx="10">
                  <c:v>18</c:v>
                </c:pt>
                <c:pt idx="11">
                  <c:v>18.5</c:v>
                </c:pt>
                <c:pt idx="12">
                  <c:v>19</c:v>
                </c:pt>
                <c:pt idx="13">
                  <c:v>19.5</c:v>
                </c:pt>
                <c:pt idx="14">
                  <c:v>20</c:v>
                </c:pt>
                <c:pt idx="15">
                  <c:v>14.1</c:v>
                </c:pt>
                <c:pt idx="16">
                  <c:v>18.649999999999999</c:v>
                </c:pt>
                <c:pt idx="17">
                  <c:v>18.649999999999999</c:v>
                </c:pt>
                <c:pt idx="18">
                  <c:v>18.649999999999999</c:v>
                </c:pt>
                <c:pt idx="19">
                  <c:v>18.649999999999999</c:v>
                </c:pt>
                <c:pt idx="20">
                  <c:v>18.649999999999999</c:v>
                </c:pt>
                <c:pt idx="21">
                  <c:v>18.649999999999999</c:v>
                </c:pt>
                <c:pt idx="22">
                  <c:v>18.73</c:v>
                </c:pt>
                <c:pt idx="23">
                  <c:v>18.75</c:v>
                </c:pt>
                <c:pt idx="24">
                  <c:v>18.75</c:v>
                </c:pt>
                <c:pt idx="25">
                  <c:v>18.75</c:v>
                </c:pt>
                <c:pt idx="26">
                  <c:v>18.75</c:v>
                </c:pt>
                <c:pt idx="27">
                  <c:v>13.87</c:v>
                </c:pt>
                <c:pt idx="28">
                  <c:v>14.27</c:v>
                </c:pt>
                <c:pt idx="29">
                  <c:v>18.760000000000002</c:v>
                </c:pt>
                <c:pt idx="30">
                  <c:v>18.77</c:v>
                </c:pt>
                <c:pt idx="31">
                  <c:v>13.87</c:v>
                </c:pt>
                <c:pt idx="32">
                  <c:v>14.14</c:v>
                </c:pt>
                <c:pt idx="33">
                  <c:v>18.760000000000002</c:v>
                </c:pt>
                <c:pt idx="34">
                  <c:v>18.72</c:v>
                </c:pt>
                <c:pt idx="35">
                  <c:v>18.760000000000002</c:v>
                </c:pt>
                <c:pt idx="36">
                  <c:v>18.760000000000002</c:v>
                </c:pt>
                <c:pt idx="37">
                  <c:v>18.739999999999998</c:v>
                </c:pt>
                <c:pt idx="38">
                  <c:v>18.75</c:v>
                </c:pt>
                <c:pt idx="39">
                  <c:v>18.75</c:v>
                </c:pt>
                <c:pt idx="40">
                  <c:v>18.75</c:v>
                </c:pt>
                <c:pt idx="41">
                  <c:v>18.75</c:v>
                </c:pt>
                <c:pt idx="42">
                  <c:v>13.79</c:v>
                </c:pt>
                <c:pt idx="43">
                  <c:v>13.49</c:v>
                </c:pt>
                <c:pt idx="44">
                  <c:v>14.89</c:v>
                </c:pt>
                <c:pt idx="45">
                  <c:v>13.94</c:v>
                </c:pt>
                <c:pt idx="46">
                  <c:v>13.67</c:v>
                </c:pt>
                <c:pt idx="47">
                  <c:v>14.43</c:v>
                </c:pt>
                <c:pt idx="48">
                  <c:v>18.75</c:v>
                </c:pt>
                <c:pt idx="49">
                  <c:v>18.22</c:v>
                </c:pt>
                <c:pt idx="50">
                  <c:v>14.06</c:v>
                </c:pt>
                <c:pt idx="51">
                  <c:v>14.43</c:v>
                </c:pt>
                <c:pt idx="52">
                  <c:v>19.48</c:v>
                </c:pt>
                <c:pt idx="53">
                  <c:v>15.15</c:v>
                </c:pt>
                <c:pt idx="54">
                  <c:v>13.79</c:v>
                </c:pt>
                <c:pt idx="55">
                  <c:v>14.31</c:v>
                </c:pt>
                <c:pt idx="56">
                  <c:v>19.5</c:v>
                </c:pt>
                <c:pt idx="57">
                  <c:v>13.85</c:v>
                </c:pt>
                <c:pt idx="58">
                  <c:v>14.23</c:v>
                </c:pt>
                <c:pt idx="59">
                  <c:v>19.309999999999999</c:v>
                </c:pt>
                <c:pt idx="60">
                  <c:v>19.29</c:v>
                </c:pt>
                <c:pt idx="61">
                  <c:v>13.76</c:v>
                </c:pt>
                <c:pt idx="62">
                  <c:v>13.45</c:v>
                </c:pt>
                <c:pt idx="63">
                  <c:v>15.13</c:v>
                </c:pt>
                <c:pt idx="64">
                  <c:v>19.43</c:v>
                </c:pt>
                <c:pt idx="65">
                  <c:v>13.26</c:v>
                </c:pt>
                <c:pt idx="66">
                  <c:v>13.92</c:v>
                </c:pt>
              </c:numCache>
            </c:numRef>
          </c:xVal>
          <c:yVal>
            <c:numRef>
              <c:f>'Linear price-demand model'!$R$52:$R$118</c:f>
              <c:numCache>
                <c:formatCode>#,##0.000</c:formatCode>
                <c:ptCount val="67"/>
                <c:pt idx="15" formatCode="#,##0">
                  <c:v>439</c:v>
                </c:pt>
                <c:pt idx="16" formatCode="#,##0">
                  <c:v>98</c:v>
                </c:pt>
                <c:pt idx="17" formatCode="#,##0">
                  <c:v>70</c:v>
                </c:pt>
                <c:pt idx="18" formatCode="#,##0">
                  <c:v>52</c:v>
                </c:pt>
                <c:pt idx="19" formatCode="#,##0">
                  <c:v>64</c:v>
                </c:pt>
                <c:pt idx="20" formatCode="#,##0">
                  <c:v>72</c:v>
                </c:pt>
                <c:pt idx="21" formatCode="#,##0">
                  <c:v>47</c:v>
                </c:pt>
                <c:pt idx="22" formatCode="#,##0">
                  <c:v>85</c:v>
                </c:pt>
                <c:pt idx="23" formatCode="#,##0">
                  <c:v>59</c:v>
                </c:pt>
                <c:pt idx="24" formatCode="#,##0">
                  <c:v>63</c:v>
                </c:pt>
                <c:pt idx="25" formatCode="#,##0">
                  <c:v>57</c:v>
                </c:pt>
                <c:pt idx="26" formatCode="#,##0">
                  <c:v>54</c:v>
                </c:pt>
                <c:pt idx="27" formatCode="#,##0">
                  <c:v>404</c:v>
                </c:pt>
                <c:pt idx="28" formatCode="#,##0">
                  <c:v>380</c:v>
                </c:pt>
                <c:pt idx="29" formatCode="#,##0">
                  <c:v>65</c:v>
                </c:pt>
                <c:pt idx="30" formatCode="#,##0">
                  <c:v>40</c:v>
                </c:pt>
                <c:pt idx="31" formatCode="#,##0">
                  <c:v>456</c:v>
                </c:pt>
                <c:pt idx="32" formatCode="#,##0">
                  <c:v>176</c:v>
                </c:pt>
                <c:pt idx="33" formatCode="#,##0">
                  <c:v>61</c:v>
                </c:pt>
                <c:pt idx="34" formatCode="#,##0">
                  <c:v>91</c:v>
                </c:pt>
                <c:pt idx="35" formatCode="#,##0">
                  <c:v>59</c:v>
                </c:pt>
                <c:pt idx="36" formatCode="#,##0">
                  <c:v>83</c:v>
                </c:pt>
                <c:pt idx="37" formatCode="#,##0">
                  <c:v>41</c:v>
                </c:pt>
                <c:pt idx="38" formatCode="#,##0">
                  <c:v>47</c:v>
                </c:pt>
                <c:pt idx="39" formatCode="#,##0">
                  <c:v>84</c:v>
                </c:pt>
                <c:pt idx="40" formatCode="#,##0">
                  <c:v>85</c:v>
                </c:pt>
                <c:pt idx="41" formatCode="#,##0">
                  <c:v>116</c:v>
                </c:pt>
                <c:pt idx="42" formatCode="#,##0">
                  <c:v>544</c:v>
                </c:pt>
                <c:pt idx="43" formatCode="#,##0">
                  <c:v>890</c:v>
                </c:pt>
                <c:pt idx="44" formatCode="#,##0">
                  <c:v>371</c:v>
                </c:pt>
                <c:pt idx="45" formatCode="#,##0">
                  <c:v>557</c:v>
                </c:pt>
                <c:pt idx="46" formatCode="#,##0">
                  <c:v>775</c:v>
                </c:pt>
                <c:pt idx="47" formatCode="#,##0">
                  <c:v>236</c:v>
                </c:pt>
                <c:pt idx="48" formatCode="#,##0">
                  <c:v>43</c:v>
                </c:pt>
                <c:pt idx="49" formatCode="#,##0">
                  <c:v>63</c:v>
                </c:pt>
                <c:pt idx="50" formatCode="#,##0">
                  <c:v>469</c:v>
                </c:pt>
                <c:pt idx="51" formatCode="#,##0">
                  <c:v>335</c:v>
                </c:pt>
                <c:pt idx="52" formatCode="#,##0">
                  <c:v>75</c:v>
                </c:pt>
                <c:pt idx="53" formatCode="#,##0">
                  <c:v>461</c:v>
                </c:pt>
                <c:pt idx="54" formatCode="#,##0">
                  <c:v>817</c:v>
                </c:pt>
                <c:pt idx="55" formatCode="#,##0">
                  <c:v>200</c:v>
                </c:pt>
                <c:pt idx="56" formatCode="#,##0">
                  <c:v>32</c:v>
                </c:pt>
                <c:pt idx="57" formatCode="#,##0">
                  <c:v>460</c:v>
                </c:pt>
                <c:pt idx="58" formatCode="#,##0">
                  <c:v>751</c:v>
                </c:pt>
                <c:pt idx="59" formatCode="#,##0">
                  <c:v>70</c:v>
                </c:pt>
                <c:pt idx="60" formatCode="#,##0">
                  <c:v>80</c:v>
                </c:pt>
                <c:pt idx="61" formatCode="#,##0">
                  <c:v>523</c:v>
                </c:pt>
                <c:pt idx="62" formatCode="#,##0">
                  <c:v>741</c:v>
                </c:pt>
                <c:pt idx="63" formatCode="#,##0">
                  <c:v>130</c:v>
                </c:pt>
                <c:pt idx="64" formatCode="#,##0">
                  <c:v>69</c:v>
                </c:pt>
                <c:pt idx="65" formatCode="#,##0">
                  <c:v>493</c:v>
                </c:pt>
                <c:pt idx="66" formatCode="#,##0">
                  <c:v>814</c:v>
                </c:pt>
              </c:numCache>
            </c:numRef>
          </c:yVal>
          <c:smooth val="1"/>
        </c:ser>
        <c:dLbls>
          <c:showLegendKey val="0"/>
          <c:showVal val="0"/>
          <c:showCatName val="0"/>
          <c:showSerName val="0"/>
          <c:showPercent val="0"/>
          <c:showBubbleSize val="0"/>
        </c:dLbls>
        <c:axId val="343216896"/>
        <c:axId val="343219200"/>
      </c:scatterChart>
      <c:valAx>
        <c:axId val="343216896"/>
        <c:scaling>
          <c:orientation val="minMax"/>
          <c:max val="20"/>
          <c:min val="13"/>
        </c:scaling>
        <c:delete val="0"/>
        <c:axPos val="b"/>
        <c:title>
          <c:tx>
            <c:rich>
              <a:bodyPr/>
              <a:lstStyle/>
              <a:p>
                <a:pPr>
                  <a:defRPr/>
                </a:pPr>
                <a:r>
                  <a:rPr lang="en-US" sz="1100"/>
                  <a:t>Price per case for 18-packs</a:t>
                </a:r>
              </a:p>
            </c:rich>
          </c:tx>
          <c:layout/>
          <c:overlay val="0"/>
        </c:title>
        <c:numFmt formatCode="#,##0" sourceLinked="0"/>
        <c:majorTickMark val="out"/>
        <c:minorTickMark val="none"/>
        <c:tickLblPos val="nextTo"/>
        <c:crossAx val="343219200"/>
        <c:crosses val="autoZero"/>
        <c:crossBetween val="midCat"/>
      </c:valAx>
      <c:valAx>
        <c:axId val="343219200"/>
        <c:scaling>
          <c:orientation val="minMax"/>
          <c:max val="1600"/>
          <c:min val="0"/>
        </c:scaling>
        <c:delete val="0"/>
        <c:axPos val="l"/>
        <c:majorGridlines/>
        <c:title>
          <c:tx>
            <c:rich>
              <a:bodyPr rot="-5400000" vert="horz"/>
              <a:lstStyle/>
              <a:p>
                <a:pPr>
                  <a:defRPr/>
                </a:pPr>
                <a:r>
                  <a:rPr lang="en-US" sz="1100"/>
                  <a:t>Cases of 18-packs sold</a:t>
                </a:r>
              </a:p>
            </c:rich>
          </c:tx>
          <c:layout>
            <c:manualLayout>
              <c:xMode val="edge"/>
              <c:yMode val="edge"/>
              <c:x val="1.5900032163150557E-2"/>
              <c:y val="0.36157151546035865"/>
            </c:manualLayout>
          </c:layout>
          <c:overlay val="0"/>
        </c:title>
        <c:numFmt formatCode="#,##0" sourceLinked="0"/>
        <c:majorTickMark val="out"/>
        <c:minorTickMark val="none"/>
        <c:tickLblPos val="nextTo"/>
        <c:crossAx val="343216896"/>
        <c:crosses val="autoZero"/>
        <c:crossBetween val="midCat"/>
      </c:valAx>
      <c:spPr>
        <a:ln>
          <a:solidFill>
            <a:srgbClr val="808080"/>
          </a:solidFill>
        </a:ln>
      </c:spPr>
    </c:plotArea>
    <c:legend>
      <c:legendPos val="r"/>
      <c:layout>
        <c:manualLayout>
          <c:xMode val="edge"/>
          <c:yMode val="edge"/>
          <c:x val="0.51797750506411921"/>
          <c:y val="0.22415818672317933"/>
          <c:w val="0.17099392076746836"/>
          <c:h val="0.20134071967517631"/>
        </c:manualLayout>
      </c:layout>
      <c:overlay val="0"/>
      <c:spPr>
        <a:solidFill>
          <a:schemeClr val="bg1"/>
        </a:solidFill>
        <a:ln>
          <a:solidFill>
            <a:srgbClr val="808080"/>
          </a:solidFill>
        </a:ln>
      </c:spPr>
    </c:legend>
    <c:plotVisOnly val="1"/>
    <c:dispBlanksAs val="gap"/>
    <c:showDLblsOverMax val="0"/>
  </c:chart>
  <c:spPr>
    <a:solidFill>
      <a:srgbClr val="F3F3F3"/>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Log-log price-demand model for CASES_18PK_LN    (1 variable, n=52)
Predicted CASES_18PK_LN = 23.831 - 6.705*PRICE_18PK_LN</a:t>
            </a:r>
          </a:p>
        </c:rich>
      </c:tx>
      <c:layout/>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2"/>
              <c:pt idx="0">
                <c:v>2.6461747973841225</c:v>
              </c:pt>
              <c:pt idx="1">
                <c:v>2.9258461460898246</c:v>
              </c:pt>
              <c:pt idx="2">
                <c:v>2.9258461460898246</c:v>
              </c:pt>
              <c:pt idx="3">
                <c:v>2.9258461460898246</c:v>
              </c:pt>
              <c:pt idx="4">
                <c:v>2.9258461460898246</c:v>
              </c:pt>
              <c:pt idx="5">
                <c:v>2.9258461460898246</c:v>
              </c:pt>
              <c:pt idx="6">
                <c:v>2.9258461460898246</c:v>
              </c:pt>
              <c:pt idx="7">
                <c:v>2.9301265164559971</c:v>
              </c:pt>
              <c:pt idx="8">
                <c:v>2.9311937524164198</c:v>
              </c:pt>
              <c:pt idx="9">
                <c:v>2.9311937524164198</c:v>
              </c:pt>
              <c:pt idx="10">
                <c:v>2.9311937524164198</c:v>
              </c:pt>
              <c:pt idx="11">
                <c:v>2.9311937524164198</c:v>
              </c:pt>
              <c:pt idx="12">
                <c:v>2.6297282343267403</c:v>
              </c:pt>
              <c:pt idx="13">
                <c:v>2.6581594314887451</c:v>
              </c:pt>
              <c:pt idx="14">
                <c:v>2.9317269435780786</c:v>
              </c:pt>
              <c:pt idx="15">
                <c:v>2.9322598505984176</c:v>
              </c:pt>
              <c:pt idx="16">
                <c:v>2.6297282343267403</c:v>
              </c:pt>
              <c:pt idx="17">
                <c:v>2.6490076604684267</c:v>
              </c:pt>
              <c:pt idx="18">
                <c:v>2.9317269435780786</c:v>
              </c:pt>
              <c:pt idx="19">
                <c:v>2.9295924710494461</c:v>
              </c:pt>
              <c:pt idx="20">
                <c:v>2.9317269435780786</c:v>
              </c:pt>
              <c:pt idx="21">
                <c:v>2.9317269435780786</c:v>
              </c:pt>
              <c:pt idx="22">
                <c:v>2.9306602768102761</c:v>
              </c:pt>
              <c:pt idx="23">
                <c:v>2.9311937524164198</c:v>
              </c:pt>
              <c:pt idx="24">
                <c:v>2.9311937524164198</c:v>
              </c:pt>
              <c:pt idx="25">
                <c:v>2.9311937524164198</c:v>
              </c:pt>
              <c:pt idx="26">
                <c:v>2.9311937524164198</c:v>
              </c:pt>
              <c:pt idx="27">
                <c:v>2.6239436918052106</c:v>
              </c:pt>
              <c:pt idx="28">
                <c:v>2.6019486702196644</c:v>
              </c:pt>
              <c:pt idx="29">
                <c:v>2.7006898466959175</c:v>
              </c:pt>
              <c:pt idx="30">
                <c:v>2.6347624053323777</c:v>
              </c:pt>
              <c:pt idx="31">
                <c:v>2.6152036507358583</c:v>
              </c:pt>
              <c:pt idx="32">
                <c:v>2.6693093727857793</c:v>
              </c:pt>
              <c:pt idx="33">
                <c:v>2.9311937524164198</c:v>
              </c:pt>
              <c:pt idx="34">
                <c:v>2.9025198918318122</c:v>
              </c:pt>
              <c:pt idx="35">
                <c:v>2.6433338863825191</c:v>
              </c:pt>
              <c:pt idx="36">
                <c:v>2.6693093727857793</c:v>
              </c:pt>
              <c:pt idx="37">
                <c:v>2.9693882982143891</c:v>
              </c:pt>
              <c:pt idx="38">
                <c:v>2.7180005319553784</c:v>
              </c:pt>
              <c:pt idx="39">
                <c:v>2.6239436918052106</c:v>
              </c:pt>
              <c:pt idx="40">
                <c:v>2.6609585935683597</c:v>
              </c:pt>
              <c:pt idx="41">
                <c:v>2.9704144655697009</c:v>
              </c:pt>
              <c:pt idx="42">
                <c:v>2.6282852326333477</c:v>
              </c:pt>
              <c:pt idx="43">
                <c:v>2.6553524121017609</c:v>
              </c:pt>
              <c:pt idx="44">
                <c:v>2.9606230964404232</c:v>
              </c:pt>
              <c:pt idx="45">
                <c:v>2.9595868269176377</c:v>
              </c:pt>
              <c:pt idx="46">
                <c:v>2.6217658325051976</c:v>
              </c:pt>
              <c:pt idx="47">
                <c:v>2.5989791060478482</c:v>
              </c:pt>
              <c:pt idx="48">
                <c:v>2.7166795278002644</c:v>
              </c:pt>
              <c:pt idx="49">
                <c:v>2.9668182633893485</c:v>
              </c:pt>
              <c:pt idx="50">
                <c:v>2.5847519847577165</c:v>
              </c:pt>
              <c:pt idx="51">
                <c:v>2.6333266549062735</c:v>
              </c:pt>
            </c:numLit>
          </c:xVal>
          <c:yVal>
            <c:numLit>
              <c:formatCode>General</c:formatCode>
              <c:ptCount val="52"/>
              <c:pt idx="0">
                <c:v>6.0844994130751715</c:v>
              </c:pt>
              <c:pt idx="1">
                <c:v>4.5849674786705723</c:v>
              </c:pt>
              <c:pt idx="2">
                <c:v>4.2484952420493594</c:v>
              </c:pt>
              <c:pt idx="3">
                <c:v>3.9512437185814275</c:v>
              </c:pt>
              <c:pt idx="4">
                <c:v>4.1588830833596715</c:v>
              </c:pt>
              <c:pt idx="5">
                <c:v>4.2766661190160553</c:v>
              </c:pt>
              <c:pt idx="6">
                <c:v>3.8501476017100584</c:v>
              </c:pt>
              <c:pt idx="7">
                <c:v>4.4426512564903167</c:v>
              </c:pt>
              <c:pt idx="8">
                <c:v>4.0775374439057197</c:v>
              </c:pt>
              <c:pt idx="9">
                <c:v>4.1431347263915326</c:v>
              </c:pt>
              <c:pt idx="10">
                <c:v>4.0430512678345503</c:v>
              </c:pt>
              <c:pt idx="11">
                <c:v>3.9889840465642745</c:v>
              </c:pt>
              <c:pt idx="12">
                <c:v>6.0014148779611505</c:v>
              </c:pt>
              <c:pt idx="13">
                <c:v>5.9401712527204316</c:v>
              </c:pt>
              <c:pt idx="14">
                <c:v>4.1743872698956368</c:v>
              </c:pt>
              <c:pt idx="15">
                <c:v>3.6888794541139363</c:v>
              </c:pt>
              <c:pt idx="16">
                <c:v>6.1224928095143865</c:v>
              </c:pt>
              <c:pt idx="17">
                <c:v>5.1704839950381514</c:v>
              </c:pt>
              <c:pt idx="18">
                <c:v>4.1108738641733114</c:v>
              </c:pt>
              <c:pt idx="19">
                <c:v>4.5108595065168497</c:v>
              </c:pt>
              <c:pt idx="20">
                <c:v>4.0775374439057197</c:v>
              </c:pt>
              <c:pt idx="21">
                <c:v>4.4188406077965983</c:v>
              </c:pt>
              <c:pt idx="22">
                <c:v>3.713572066704308</c:v>
              </c:pt>
              <c:pt idx="23">
                <c:v>3.8501476017100584</c:v>
              </c:pt>
              <c:pt idx="24">
                <c:v>4.4308167988433134</c:v>
              </c:pt>
              <c:pt idx="25">
                <c:v>4.4426512564903167</c:v>
              </c:pt>
              <c:pt idx="26">
                <c:v>4.7535901911063645</c:v>
              </c:pt>
              <c:pt idx="27">
                <c:v>6.2989492468559423</c:v>
              </c:pt>
              <c:pt idx="28">
                <c:v>6.7912214627261855</c:v>
              </c:pt>
              <c:pt idx="29">
                <c:v>5.916202062607435</c:v>
              </c:pt>
              <c:pt idx="30">
                <c:v>6.3225652399272843</c:v>
              </c:pt>
              <c:pt idx="31">
                <c:v>6.6528630293533473</c:v>
              </c:pt>
              <c:pt idx="32">
                <c:v>5.4638318050256105</c:v>
              </c:pt>
              <c:pt idx="33">
                <c:v>3.7612001156935624</c:v>
              </c:pt>
              <c:pt idx="34">
                <c:v>4.1431347263915326</c:v>
              </c:pt>
              <c:pt idx="35">
                <c:v>6.1506027684462792</c:v>
              </c:pt>
              <c:pt idx="36">
                <c:v>5.8141305318250662</c:v>
              </c:pt>
              <c:pt idx="37">
                <c:v>4.3174881135363101</c:v>
              </c:pt>
              <c:pt idx="38">
                <c:v>6.1333980429966486</c:v>
              </c:pt>
              <c:pt idx="39">
                <c:v>6.7056390948600031</c:v>
              </c:pt>
              <c:pt idx="40">
                <c:v>5.2983173665480363</c:v>
              </c:pt>
              <c:pt idx="41">
                <c:v>3.4657359027997265</c:v>
              </c:pt>
              <c:pt idx="42">
                <c:v>6.131226489483141</c:v>
              </c:pt>
              <c:pt idx="43">
                <c:v>6.6214056517641344</c:v>
              </c:pt>
              <c:pt idx="44">
                <c:v>4.2484952420493594</c:v>
              </c:pt>
              <c:pt idx="45">
                <c:v>4.3820266346738812</c:v>
              </c:pt>
              <c:pt idx="46">
                <c:v>6.2595814640649232</c:v>
              </c:pt>
              <c:pt idx="47">
                <c:v>6.6080006252960866</c:v>
              </c:pt>
              <c:pt idx="48">
                <c:v>4.8675344504555822</c:v>
              </c:pt>
              <c:pt idx="49">
                <c:v>4.2341065045972597</c:v>
              </c:pt>
              <c:pt idx="50">
                <c:v>6.2005091740426899</c:v>
              </c:pt>
              <c:pt idx="51">
                <c:v>6.70196036600254</c:v>
              </c:pt>
            </c:numLit>
          </c:yVal>
          <c:smooth val="0"/>
        </c:ser>
        <c:dLbls>
          <c:showLegendKey val="0"/>
          <c:showVal val="0"/>
          <c:showCatName val="0"/>
          <c:showSerName val="0"/>
          <c:showPercent val="0"/>
          <c:showBubbleSize val="0"/>
        </c:dLbls>
        <c:axId val="343310336"/>
        <c:axId val="343312256"/>
      </c:scatterChart>
      <c:scatterChart>
        <c:scatterStyle val="lineMarker"/>
        <c:varyColors val="0"/>
        <c:ser>
          <c:idx val="1"/>
          <c:order val="1"/>
          <c:tx>
            <c:strRef>
              <c:f>'Log-log price-demand model'!$G$25</c:f>
              <c:strCache>
                <c:ptCount val="1"/>
                <c:pt idx="0">
                  <c:v>Upper 95%</c:v>
                </c:pt>
              </c:strCache>
            </c:strRef>
          </c:tx>
          <c:spPr>
            <a:ln w="15875">
              <a:solidFill>
                <a:srgbClr val="FF0000"/>
              </a:solidFill>
              <a:prstDash val="sysDash"/>
            </a:ln>
          </c:spPr>
          <c:marker>
            <c:symbol val="none"/>
          </c:marker>
          <c:xVal>
            <c:numRef>
              <c:f>'Log-log price-demand model'!$B$26:$B$30</c:f>
              <c:numCache>
                <c:formatCode>#,##0.000</c:formatCode>
                <c:ptCount val="5"/>
                <c:pt idx="0">
                  <c:v>2.5847519847577201</c:v>
                </c:pt>
                <c:pt idx="1">
                  <c:v>2.6811676049607152</c:v>
                </c:pt>
                <c:pt idx="2">
                  <c:v>2.7775832251637098</c:v>
                </c:pt>
                <c:pt idx="3">
                  <c:v>2.8739988453667049</c:v>
                </c:pt>
                <c:pt idx="4">
                  <c:v>2.9704144655697</c:v>
                </c:pt>
              </c:numCache>
            </c:numRef>
          </c:xVal>
          <c:yVal>
            <c:numRef>
              <c:f>'Log-log price-demand model'!$G$26:$G$30</c:f>
              <c:numCache>
                <c:formatCode>#,##0.000</c:formatCode>
                <c:ptCount val="5"/>
                <c:pt idx="0">
                  <c:v>7.2369619899621096</c:v>
                </c:pt>
                <c:pt idx="1">
                  <c:v>6.5800408067798379</c:v>
                </c:pt>
                <c:pt idx="2">
                  <c:v>5.928874590397192</c:v>
                </c:pt>
                <c:pt idx="3">
                  <c:v>5.28357506792472</c:v>
                </c:pt>
                <c:pt idx="4">
                  <c:v>4.6441136082830461</c:v>
                </c:pt>
              </c:numCache>
            </c:numRef>
          </c:yVal>
          <c:smooth val="1"/>
        </c:ser>
        <c:ser>
          <c:idx val="2"/>
          <c:order val="2"/>
          <c:tx>
            <c:strRef>
              <c:f>'Log-log price-demand model'!$E$25</c:f>
              <c:strCache>
                <c:ptCount val="1"/>
                <c:pt idx="0">
                  <c:v>Predicted</c:v>
                </c:pt>
              </c:strCache>
            </c:strRef>
          </c:tx>
          <c:spPr>
            <a:ln w="19050">
              <a:solidFill>
                <a:srgbClr val="FF0000"/>
              </a:solidFill>
              <a:prstDash val="solid"/>
            </a:ln>
          </c:spPr>
          <c:marker>
            <c:symbol val="none"/>
          </c:marker>
          <c:xVal>
            <c:numRef>
              <c:f>'Log-log price-demand model'!$B$26:$B$30</c:f>
              <c:numCache>
                <c:formatCode>#,##0.000</c:formatCode>
                <c:ptCount val="5"/>
                <c:pt idx="0">
                  <c:v>2.5847519847577201</c:v>
                </c:pt>
                <c:pt idx="1">
                  <c:v>2.6811676049607152</c:v>
                </c:pt>
                <c:pt idx="2">
                  <c:v>2.7775832251637098</c:v>
                </c:pt>
                <c:pt idx="3">
                  <c:v>2.8739988453667049</c:v>
                </c:pt>
                <c:pt idx="4">
                  <c:v>2.9704144655697</c:v>
                </c:pt>
              </c:numCache>
            </c:numRef>
          </c:xVal>
          <c:yVal>
            <c:numRef>
              <c:f>'Log-log price-demand model'!$E$26:$E$30</c:f>
              <c:numCache>
                <c:formatCode>#,##0.000</c:formatCode>
                <c:ptCount val="5"/>
                <c:pt idx="0">
                  <c:v>6.4999535050056707</c:v>
                </c:pt>
                <c:pt idx="1">
                  <c:v>5.8534662481425705</c:v>
                </c:pt>
                <c:pt idx="2">
                  <c:v>5.2069789912794775</c:v>
                </c:pt>
                <c:pt idx="3">
                  <c:v>4.5604917344163773</c:v>
                </c:pt>
                <c:pt idx="4">
                  <c:v>3.9140044775532772</c:v>
                </c:pt>
              </c:numCache>
            </c:numRef>
          </c:yVal>
          <c:smooth val="0"/>
        </c:ser>
        <c:ser>
          <c:idx val="3"/>
          <c:order val="3"/>
          <c:tx>
            <c:strRef>
              <c:f>'Log-log price-demand model'!$F$25</c:f>
              <c:strCache>
                <c:ptCount val="1"/>
                <c:pt idx="0">
                  <c:v>Lower 95%</c:v>
                </c:pt>
              </c:strCache>
            </c:strRef>
          </c:tx>
          <c:spPr>
            <a:ln w="15875">
              <a:solidFill>
                <a:srgbClr val="FF0000"/>
              </a:solidFill>
              <a:prstDash val="sysDash"/>
            </a:ln>
          </c:spPr>
          <c:marker>
            <c:symbol val="none"/>
          </c:marker>
          <c:xVal>
            <c:numRef>
              <c:f>'Log-log price-demand model'!$B$26:$B$30</c:f>
              <c:numCache>
                <c:formatCode>#,##0.000</c:formatCode>
                <c:ptCount val="5"/>
                <c:pt idx="0">
                  <c:v>2.5847519847577201</c:v>
                </c:pt>
                <c:pt idx="1">
                  <c:v>2.6811676049607152</c:v>
                </c:pt>
                <c:pt idx="2">
                  <c:v>2.7775832251637098</c:v>
                </c:pt>
                <c:pt idx="3">
                  <c:v>2.8739988453667049</c:v>
                </c:pt>
                <c:pt idx="4">
                  <c:v>2.9704144655697</c:v>
                </c:pt>
              </c:numCache>
            </c:numRef>
          </c:xVal>
          <c:yVal>
            <c:numRef>
              <c:f>'Log-log price-demand model'!$F$26:$F$30</c:f>
              <c:numCache>
                <c:formatCode>#,##0.000</c:formatCode>
                <c:ptCount val="5"/>
                <c:pt idx="0">
                  <c:v>5.7629450200492318</c:v>
                </c:pt>
                <c:pt idx="1">
                  <c:v>5.1268916895053032</c:v>
                </c:pt>
                <c:pt idx="2">
                  <c:v>4.485083392161763</c:v>
                </c:pt>
                <c:pt idx="3">
                  <c:v>3.8374084009080347</c:v>
                </c:pt>
                <c:pt idx="4">
                  <c:v>3.1838953468235078</c:v>
                </c:pt>
              </c:numCache>
            </c:numRef>
          </c:yVal>
          <c:smooth val="1"/>
        </c:ser>
        <c:dLbls>
          <c:showLegendKey val="0"/>
          <c:showVal val="0"/>
          <c:showCatName val="0"/>
          <c:showSerName val="0"/>
          <c:showPercent val="0"/>
          <c:showBubbleSize val="0"/>
        </c:dLbls>
        <c:axId val="343320064"/>
        <c:axId val="343318528"/>
      </c:scatterChart>
      <c:valAx>
        <c:axId val="343310336"/>
        <c:scaling>
          <c:orientation val="minMax"/>
          <c:min val="2.5499999999999998"/>
        </c:scaling>
        <c:delete val="0"/>
        <c:axPos val="b"/>
        <c:title>
          <c:tx>
            <c:rich>
              <a:bodyPr/>
              <a:lstStyle/>
              <a:p>
                <a:pPr>
                  <a:defRPr/>
                </a:pPr>
                <a:r>
                  <a:rPr lang="en-US"/>
                  <a:t>PRICE_18PK_LN</a:t>
                </a:r>
              </a:p>
            </c:rich>
          </c:tx>
          <c:layout/>
          <c:overlay val="0"/>
        </c:title>
        <c:numFmt formatCode="General" sourceLinked="1"/>
        <c:majorTickMark val="out"/>
        <c:minorTickMark val="none"/>
        <c:tickLblPos val="nextTo"/>
        <c:crossAx val="343312256"/>
        <c:crossesAt val="3"/>
        <c:crossBetween val="midCat"/>
      </c:valAx>
      <c:valAx>
        <c:axId val="343312256"/>
        <c:scaling>
          <c:orientation val="minMax"/>
          <c:max val="8"/>
          <c:min val="3"/>
        </c:scaling>
        <c:delete val="0"/>
        <c:axPos val="l"/>
        <c:majorGridlines>
          <c:spPr>
            <a:ln w="3175">
              <a:solidFill>
                <a:srgbClr val="C0C0C0"/>
              </a:solidFill>
              <a:prstDash val="solid"/>
            </a:ln>
          </c:spPr>
        </c:majorGridlines>
        <c:title>
          <c:tx>
            <c:rich>
              <a:bodyPr/>
              <a:lstStyle/>
              <a:p>
                <a:pPr>
                  <a:defRPr/>
                </a:pPr>
                <a:r>
                  <a:rPr lang="en-US"/>
                  <a:t>CASES_18PK_LN</a:t>
                </a:r>
              </a:p>
            </c:rich>
          </c:tx>
          <c:layout>
            <c:manualLayout>
              <c:xMode val="edge"/>
              <c:yMode val="edge"/>
              <c:x val="7.6016413441277603E-3"/>
              <c:y val="0.32619758737054422"/>
            </c:manualLayout>
          </c:layout>
          <c:overlay val="0"/>
        </c:title>
        <c:numFmt formatCode="General" sourceLinked="1"/>
        <c:majorTickMark val="out"/>
        <c:minorTickMark val="none"/>
        <c:tickLblPos val="nextTo"/>
        <c:crossAx val="343310336"/>
        <c:crossesAt val="2.5499999999999998"/>
        <c:crossBetween val="midCat"/>
      </c:valAx>
      <c:valAx>
        <c:axId val="343318528"/>
        <c:scaling>
          <c:orientation val="minMax"/>
          <c:min val="3"/>
        </c:scaling>
        <c:delete val="1"/>
        <c:axPos val="r"/>
        <c:numFmt formatCode="#,##0.000" sourceLinked="1"/>
        <c:majorTickMark val="out"/>
        <c:minorTickMark val="none"/>
        <c:tickLblPos val="nextTo"/>
        <c:crossAx val="343320064"/>
        <c:crosses val="max"/>
        <c:crossBetween val="midCat"/>
      </c:valAx>
      <c:valAx>
        <c:axId val="343320064"/>
        <c:scaling>
          <c:orientation val="minMax"/>
        </c:scaling>
        <c:delete val="1"/>
        <c:axPos val="b"/>
        <c:numFmt formatCode="#,##0.000" sourceLinked="1"/>
        <c:majorTickMark val="out"/>
        <c:minorTickMark val="none"/>
        <c:tickLblPos val="nextTo"/>
        <c:crossAx val="343318528"/>
        <c:crosses val="autoZero"/>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_rels/drawing3.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0</xdr:rowOff>
    </xdr:from>
    <xdr:to>
      <xdr:col>22</xdr:col>
      <xdr:colOff>504826</xdr:colOff>
      <xdr:row>15</xdr:row>
      <xdr:rowOff>57150</xdr:rowOff>
    </xdr:to>
    <xdr:sp macro="" textlink="">
      <xdr:nvSpPr>
        <xdr:cNvPr id="2" name="TextBox 1"/>
        <xdr:cNvSpPr txBox="1"/>
      </xdr:nvSpPr>
      <xdr:spPr>
        <a:xfrm>
          <a:off x="6200775" y="190500"/>
          <a:ext cx="4772026" cy="2724150"/>
        </a:xfrm>
        <a:prstGeom prst="rect">
          <a:avLst/>
        </a:prstGeom>
        <a:solidFill>
          <a:srgbClr val="FDEA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This</a:t>
          </a:r>
          <a:r>
            <a:rPr lang="en-US" baseline="0"/>
            <a:t> </a:t>
          </a:r>
          <a:r>
            <a:rPr lang="en-US"/>
            <a:t>sample data file  contains 52 weeks of price and sales data for 3 carton sizes of beer at a small chain of supermarkets.  The price and quantity-sold variables have all been converted to a per-case (i.e., per-24-can) basis to allow prices and quantities to be directly compared in charts and model coefficients.  For example, the value of $19.98 for the price of 12-packs in week 1 means that a 12-pack sold for $9.99 in that week, and the value of 223.5 for cases of 12-packs sold in that week means that 447 12-packs were sold.</a:t>
          </a:r>
          <a:endParaRPr lang="en-US" sz="1100">
            <a:latin typeface="+mn-lt"/>
          </a:endParaRPr>
        </a:p>
        <a:p>
          <a:endParaRPr lang="en-US" sz="1100">
            <a:latin typeface="+mn-lt"/>
          </a:endParaRPr>
        </a:p>
        <a:p>
          <a:r>
            <a:rPr lang="en-US" sz="1100" baseline="0">
              <a:latin typeface="+mn-lt"/>
            </a:rPr>
            <a:t>Variable names have not yet been assigned, so the first thing that needs to be done is to highlight the data range (including the top row with the variable names) and hit the Create Variable Name on the RegressIt menu (or equivalently, use the Create From Selection command on the Formula menu).</a:t>
          </a:r>
        </a:p>
        <a:p>
          <a:endParaRPr lang="en-US" sz="1100" baseline="0">
            <a:latin typeface="+mn-lt"/>
          </a:endParaRPr>
        </a:p>
        <a:p>
          <a:r>
            <a:rPr lang="en-US" sz="1100" baseline="0">
              <a:latin typeface="+mn-lt"/>
            </a:rPr>
            <a:t>Visit </a:t>
          </a:r>
          <a:r>
            <a:rPr lang="en-US" sz="1100" u="sng" baseline="0">
              <a:latin typeface="+mn-lt"/>
            </a:rPr>
            <a:t>RegressIt.com</a:t>
          </a:r>
          <a:r>
            <a:rPr lang="en-US" sz="1100" baseline="0">
              <a:latin typeface="+mn-lt"/>
            </a:rPr>
            <a:t> to see the analysis of the data and download the software.</a:t>
          </a:r>
        </a:p>
        <a:p>
          <a:endParaRPr lang="en-US" sz="110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23</xdr:row>
      <xdr:rowOff>127000</xdr:rowOff>
    </xdr:from>
    <xdr:to>
      <xdr:col>8</xdr:col>
      <xdr:colOff>593725</xdr:colOff>
      <xdr:row>41</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55</xdr:row>
      <xdr:rowOff>9526</xdr:rowOff>
    </xdr:from>
    <xdr:to>
      <xdr:col>7</xdr:col>
      <xdr:colOff>85725</xdr:colOff>
      <xdr:row>72</xdr:row>
      <xdr:rowOff>114301</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78</xdr:row>
      <xdr:rowOff>127000</xdr:rowOff>
    </xdr:from>
    <xdr:to>
      <xdr:col>8</xdr:col>
      <xdr:colOff>593725</xdr:colOff>
      <xdr:row>96</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100</xdr:row>
      <xdr:rowOff>127000</xdr:rowOff>
    </xdr:from>
    <xdr:to>
      <xdr:col>8</xdr:col>
      <xdr:colOff>593725</xdr:colOff>
      <xdr:row>118</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122</xdr:row>
      <xdr:rowOff>127000</xdr:rowOff>
    </xdr:from>
    <xdr:to>
      <xdr:col>8</xdr:col>
      <xdr:colOff>593725</xdr:colOff>
      <xdr:row>140</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144</xdr:row>
      <xdr:rowOff>127000</xdr:rowOff>
    </xdr:from>
    <xdr:to>
      <xdr:col>8</xdr:col>
      <xdr:colOff>593725</xdr:colOff>
      <xdr:row>162</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127000</xdr:colOff>
      <xdr:row>166</xdr:row>
      <xdr:rowOff>127000</xdr:rowOff>
    </xdr:from>
    <xdr:to>
      <xdr:col>8</xdr:col>
      <xdr:colOff>593725</xdr:colOff>
      <xdr:row>184</xdr:row>
      <xdr:rowOff>127000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4</xdr:col>
      <xdr:colOff>0</xdr:colOff>
      <xdr:row>0</xdr:row>
      <xdr:rowOff>0</xdr:rowOff>
    </xdr:from>
    <xdr:to>
      <xdr:col>9</xdr:col>
      <xdr:colOff>381000</xdr:colOff>
      <xdr:row>0</xdr:row>
      <xdr:rowOff>152400</xdr:rowOff>
    </xdr:to>
    <xdr:pic>
      <xdr:nvPicPr>
        <xdr:cNvPr id="3073" name="Picture 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24125" y="0"/>
          <a:ext cx="3438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12</xdr:row>
      <xdr:rowOff>19050</xdr:rowOff>
    </xdr:from>
    <xdr:to>
      <xdr:col>21</xdr:col>
      <xdr:colOff>200025</xdr:colOff>
      <xdr:row>47</xdr:row>
      <xdr:rowOff>133350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476249</xdr:colOff>
      <xdr:row>0</xdr:row>
      <xdr:rowOff>0</xdr:rowOff>
    </xdr:from>
    <xdr:to>
      <xdr:col>22</xdr:col>
      <xdr:colOff>600075</xdr:colOff>
      <xdr:row>11</xdr:row>
      <xdr:rowOff>104775</xdr:rowOff>
    </xdr:to>
    <xdr:sp macro="" textlink="">
      <xdr:nvSpPr>
        <xdr:cNvPr id="9" name="TextBox 8"/>
        <xdr:cNvSpPr txBox="1"/>
      </xdr:nvSpPr>
      <xdr:spPr>
        <a:xfrm>
          <a:off x="6857999" y="0"/>
          <a:ext cx="7439026" cy="1162050"/>
        </a:xfrm>
        <a:prstGeom prst="rect">
          <a:avLst/>
        </a:prstGeom>
        <a:solidFill>
          <a:srgbClr val="FDEA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is a linear</a:t>
          </a:r>
          <a:r>
            <a:rPr lang="en-US" sz="1100" baseline="0"/>
            <a:t> price-demand model for  predicting sales of 18-packs of beer from price-per-case.   Forecasts have been produced for price levels  between $13 and $20 per case.  (This was done by entering these values in the column at the right of the forecast table , shown in blue, and then hitting the Forecast button on the RegressIt toolbar.)   A second version of the line fit chart has been created at the right from the table of data below it, which combines the forecast table results and the original data.   How many things are wrong with this picture?  See the next sheet for the corresponding picture yielded by the log-log model.  Visit http://regressit.com for more details of this analysis and the software which produced it.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126999</xdr:colOff>
      <xdr:row>23</xdr:row>
      <xdr:rowOff>127000</xdr:rowOff>
    </xdr:from>
    <xdr:to>
      <xdr:col>8</xdr:col>
      <xdr:colOff>600074</xdr:colOff>
      <xdr:row>41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98425</xdr:colOff>
      <xdr:row>55</xdr:row>
      <xdr:rowOff>3175</xdr:rowOff>
    </xdr:from>
    <xdr:to>
      <xdr:col>7</xdr:col>
      <xdr:colOff>114300</xdr:colOff>
      <xdr:row>72</xdr:row>
      <xdr:rowOff>104775</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78</xdr:row>
      <xdr:rowOff>127000</xdr:rowOff>
    </xdr:from>
    <xdr:to>
      <xdr:col>7</xdr:col>
      <xdr:colOff>593725</xdr:colOff>
      <xdr:row>96</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100</xdr:row>
      <xdr:rowOff>127000</xdr:rowOff>
    </xdr:from>
    <xdr:to>
      <xdr:col>7</xdr:col>
      <xdr:colOff>593725</xdr:colOff>
      <xdr:row>118</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122</xdr:row>
      <xdr:rowOff>127000</xdr:rowOff>
    </xdr:from>
    <xdr:to>
      <xdr:col>7</xdr:col>
      <xdr:colOff>593725</xdr:colOff>
      <xdr:row>140</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144</xdr:row>
      <xdr:rowOff>127000</xdr:rowOff>
    </xdr:from>
    <xdr:to>
      <xdr:col>7</xdr:col>
      <xdr:colOff>593725</xdr:colOff>
      <xdr:row>162</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127000</xdr:colOff>
      <xdr:row>166</xdr:row>
      <xdr:rowOff>127000</xdr:rowOff>
    </xdr:from>
    <xdr:to>
      <xdr:col>7</xdr:col>
      <xdr:colOff>593725</xdr:colOff>
      <xdr:row>184</xdr:row>
      <xdr:rowOff>127000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4</xdr:col>
      <xdr:colOff>0</xdr:colOff>
      <xdr:row>0</xdr:row>
      <xdr:rowOff>0</xdr:rowOff>
    </xdr:from>
    <xdr:to>
      <xdr:col>9</xdr:col>
      <xdr:colOff>438150</xdr:colOff>
      <xdr:row>0</xdr:row>
      <xdr:rowOff>152400</xdr:rowOff>
    </xdr:to>
    <xdr:pic>
      <xdr:nvPicPr>
        <xdr:cNvPr id="12289" name="Picture 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14625" y="0"/>
          <a:ext cx="34956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9525</xdr:colOff>
      <xdr:row>12</xdr:row>
      <xdr:rowOff>19050</xdr:rowOff>
    </xdr:from>
    <xdr:to>
      <xdr:col>21</xdr:col>
      <xdr:colOff>209550</xdr:colOff>
      <xdr:row>47</xdr:row>
      <xdr:rowOff>133350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219074</xdr:colOff>
      <xdr:row>0</xdr:row>
      <xdr:rowOff>47623</xdr:rowOff>
    </xdr:from>
    <xdr:to>
      <xdr:col>23</xdr:col>
      <xdr:colOff>457199</xdr:colOff>
      <xdr:row>11</xdr:row>
      <xdr:rowOff>47625</xdr:rowOff>
    </xdr:to>
    <xdr:sp macro="" textlink="">
      <xdr:nvSpPr>
        <xdr:cNvPr id="11" name="TextBox 10"/>
        <xdr:cNvSpPr txBox="1"/>
      </xdr:nvSpPr>
      <xdr:spPr>
        <a:xfrm>
          <a:off x="6600824" y="47623"/>
          <a:ext cx="8162925" cy="1057277"/>
        </a:xfrm>
        <a:prstGeom prst="rect">
          <a:avLst/>
        </a:prstGeom>
        <a:solidFill>
          <a:srgbClr val="FDEA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is the log-log </a:t>
          </a:r>
          <a:r>
            <a:rPr lang="en-US" sz="1100" baseline="0"/>
            <a:t>price-demand model for 18-packs with forecasts produced for price levels between $13 and $20 per case.   (The price levels in the forecast table are the logs of the prices used in the table for the previous model. ) The chart at the right shows the </a:t>
          </a:r>
          <a:r>
            <a:rPr lang="en-US" sz="1100" i="1" baseline="0"/>
            <a:t>unlogged </a:t>
          </a:r>
          <a:r>
            <a:rPr lang="en-US" sz="1100" i="0" baseline="0"/>
            <a:t>(i.e. real) </a:t>
          </a:r>
          <a:r>
            <a:rPr lang="en-US" sz="1100" baseline="0"/>
            <a:t>forecasts from this model, obtained by applying the EXP function to the forecasts for logged values.   Notice that the nonlinear curve fits the pattern in the data better, and the wider confidence limits for forecasts at low price levels is consistent with the larger variance in sales there.  Moreover, It is mathematically  impossible for the unlogged forecasts or confidence limits to have negative values.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cols>
    <col min="2" max="2" width="10.7109375" bestFit="1" customWidth="1"/>
    <col min="3" max="3" width="10.7109375" customWidth="1"/>
    <col min="4" max="4" width="10.7109375" bestFit="1" customWidth="1"/>
    <col min="5" max="5" width="10.7109375" customWidth="1"/>
    <col min="6" max="6" width="10.7109375" bestFit="1" customWidth="1"/>
    <col min="7" max="7" width="10.7109375" customWidth="1"/>
    <col min="8" max="8" width="11.140625" bestFit="1" customWidth="1"/>
    <col min="9" max="9" width="11.140625" customWidth="1"/>
    <col min="10" max="10" width="11.140625" bestFit="1" customWidth="1"/>
    <col min="11" max="11" width="11.140625" customWidth="1"/>
    <col min="12" max="12" width="11.140625" bestFit="1" customWidth="1"/>
    <col min="13" max="13" width="11.140625" customWidth="1"/>
  </cols>
  <sheetData>
    <row r="1" spans="1:13" x14ac:dyDescent="0.25">
      <c r="A1" t="s">
        <v>0</v>
      </c>
      <c r="B1" t="s">
        <v>1</v>
      </c>
      <c r="C1" t="s">
        <v>86</v>
      </c>
      <c r="D1" t="s">
        <v>2</v>
      </c>
      <c r="E1" t="s">
        <v>87</v>
      </c>
      <c r="F1" t="s">
        <v>3</v>
      </c>
      <c r="G1" t="s">
        <v>88</v>
      </c>
      <c r="H1" t="s">
        <v>4</v>
      </c>
      <c r="I1" t="s">
        <v>83</v>
      </c>
      <c r="J1" t="s">
        <v>5</v>
      </c>
      <c r="K1" t="s">
        <v>84</v>
      </c>
      <c r="L1" t="s">
        <v>6</v>
      </c>
      <c r="M1" t="s">
        <v>85</v>
      </c>
    </row>
    <row r="2" spans="1:13" x14ac:dyDescent="0.25">
      <c r="A2">
        <v>1</v>
      </c>
      <c r="B2" s="1">
        <v>19.98</v>
      </c>
      <c r="C2" s="1">
        <v>2.9947317732204075</v>
      </c>
      <c r="D2" s="1">
        <v>14.1</v>
      </c>
      <c r="E2" s="1">
        <v>2.6461747973841225</v>
      </c>
      <c r="F2" s="1">
        <v>15.19</v>
      </c>
      <c r="G2" s="1">
        <v>2.7206373166076814</v>
      </c>
      <c r="H2" s="2">
        <v>223.5</v>
      </c>
      <c r="I2" s="2">
        <v>5.4094114140536238</v>
      </c>
      <c r="J2" s="2">
        <v>439</v>
      </c>
      <c r="K2" s="2">
        <v>6.0844994130751715</v>
      </c>
      <c r="L2" s="1">
        <v>55</v>
      </c>
      <c r="M2" s="1">
        <v>4.0073331852324712</v>
      </c>
    </row>
    <row r="3" spans="1:13" x14ac:dyDescent="0.25">
      <c r="A3">
        <v>2</v>
      </c>
      <c r="B3" s="1">
        <v>19.98</v>
      </c>
      <c r="C3" s="1">
        <v>2.9947317732204075</v>
      </c>
      <c r="D3" s="1">
        <v>18.649999999999999</v>
      </c>
      <c r="E3" s="1">
        <v>2.9258461460898246</v>
      </c>
      <c r="F3" s="1">
        <v>15.19</v>
      </c>
      <c r="G3" s="1">
        <v>2.7206373166076814</v>
      </c>
      <c r="H3" s="2">
        <v>215</v>
      </c>
      <c r="I3" s="2">
        <v>5.3706380281276624</v>
      </c>
      <c r="J3" s="2">
        <v>98</v>
      </c>
      <c r="K3" s="2">
        <v>4.5849674786705723</v>
      </c>
      <c r="L3" s="1">
        <v>66.75</v>
      </c>
      <c r="M3" s="1">
        <v>4.2009542972803589</v>
      </c>
    </row>
    <row r="4" spans="1:13" x14ac:dyDescent="0.25">
      <c r="A4">
        <v>3</v>
      </c>
      <c r="B4" s="1">
        <v>19.98</v>
      </c>
      <c r="C4" s="1">
        <v>2.9947317732204075</v>
      </c>
      <c r="D4" s="1">
        <v>18.649999999999999</v>
      </c>
      <c r="E4" s="1">
        <v>2.9258461460898246</v>
      </c>
      <c r="F4" s="1">
        <v>13.87</v>
      </c>
      <c r="G4" s="1">
        <v>2.6297282343267403</v>
      </c>
      <c r="H4" s="2">
        <v>227.5</v>
      </c>
      <c r="I4" s="2">
        <v>5.4271502383910049</v>
      </c>
      <c r="J4" s="2">
        <v>70</v>
      </c>
      <c r="K4" s="2">
        <v>4.2484952420493594</v>
      </c>
      <c r="L4" s="1">
        <v>242</v>
      </c>
      <c r="M4" s="1">
        <v>5.4889377261566867</v>
      </c>
    </row>
    <row r="5" spans="1:13" x14ac:dyDescent="0.25">
      <c r="A5">
        <v>4</v>
      </c>
      <c r="B5" s="1">
        <v>19.98</v>
      </c>
      <c r="C5" s="1">
        <v>2.9947317732204075</v>
      </c>
      <c r="D5" s="1">
        <v>18.649999999999999</v>
      </c>
      <c r="E5" s="1">
        <v>2.9258461460898246</v>
      </c>
      <c r="F5" s="1">
        <v>12.83</v>
      </c>
      <c r="G5" s="1">
        <v>2.5517861786275451</v>
      </c>
      <c r="H5" s="2">
        <v>244.5</v>
      </c>
      <c r="I5" s="2">
        <v>5.4992153089149269</v>
      </c>
      <c r="J5" s="2">
        <v>52</v>
      </c>
      <c r="K5" s="2">
        <v>3.9512437185814275</v>
      </c>
      <c r="L5" s="1">
        <v>488.5</v>
      </c>
      <c r="M5" s="1">
        <v>6.1913394714828378</v>
      </c>
    </row>
    <row r="6" spans="1:13" x14ac:dyDescent="0.25">
      <c r="A6">
        <v>5</v>
      </c>
      <c r="B6" s="1">
        <v>19.98</v>
      </c>
      <c r="C6" s="1">
        <v>2.9947317732204075</v>
      </c>
      <c r="D6" s="1">
        <v>18.649999999999999</v>
      </c>
      <c r="E6" s="1">
        <v>2.9258461460898246</v>
      </c>
      <c r="F6" s="1">
        <v>13.16</v>
      </c>
      <c r="G6" s="1">
        <v>2.5771819258971713</v>
      </c>
      <c r="H6" s="2">
        <v>313.5</v>
      </c>
      <c r="I6" s="2">
        <v>5.7477993600729755</v>
      </c>
      <c r="J6" s="2">
        <v>64</v>
      </c>
      <c r="K6" s="2">
        <v>4.1588830833596715</v>
      </c>
      <c r="L6" s="1">
        <v>308.75</v>
      </c>
      <c r="M6" s="1">
        <v>5.7325318879421872</v>
      </c>
    </row>
    <row r="7" spans="1:13" x14ac:dyDescent="0.25">
      <c r="A7">
        <v>6</v>
      </c>
      <c r="B7" s="1">
        <v>19.98</v>
      </c>
      <c r="C7" s="1">
        <v>2.9947317732204075</v>
      </c>
      <c r="D7" s="1">
        <v>18.649999999999999</v>
      </c>
      <c r="E7" s="1">
        <v>2.9258461460898246</v>
      </c>
      <c r="F7" s="1">
        <v>15.19</v>
      </c>
      <c r="G7" s="1">
        <v>2.7206373166076814</v>
      </c>
      <c r="H7" s="2">
        <v>279</v>
      </c>
      <c r="I7" s="2">
        <v>5.6312117818213654</v>
      </c>
      <c r="J7" s="2">
        <v>72</v>
      </c>
      <c r="K7" s="2">
        <v>4.2766661190160553</v>
      </c>
      <c r="L7" s="1">
        <v>111.75</v>
      </c>
      <c r="M7" s="1">
        <v>4.7162642334936784</v>
      </c>
    </row>
    <row r="8" spans="1:13" x14ac:dyDescent="0.25">
      <c r="A8">
        <v>7</v>
      </c>
      <c r="B8" s="1">
        <v>19.98</v>
      </c>
      <c r="C8" s="1">
        <v>2.9947317732204075</v>
      </c>
      <c r="D8" s="1">
        <v>18.649999999999999</v>
      </c>
      <c r="E8" s="1">
        <v>2.9258461460898246</v>
      </c>
      <c r="F8" s="1">
        <v>13.92</v>
      </c>
      <c r="G8" s="1">
        <v>2.6333266549062735</v>
      </c>
      <c r="H8" s="2">
        <v>238</v>
      </c>
      <c r="I8" s="2">
        <v>5.472270673671475</v>
      </c>
      <c r="J8" s="2">
        <v>47</v>
      </c>
      <c r="K8" s="2">
        <v>3.8501476017100584</v>
      </c>
      <c r="L8" s="1">
        <v>252.5</v>
      </c>
      <c r="M8" s="1">
        <v>5.5314112487154148</v>
      </c>
    </row>
    <row r="9" spans="1:13" x14ac:dyDescent="0.25">
      <c r="A9">
        <v>8</v>
      </c>
      <c r="B9" s="1">
        <v>20.100000000000001</v>
      </c>
      <c r="C9" s="1">
        <v>3.0007198150650303</v>
      </c>
      <c r="D9" s="1">
        <v>18.73</v>
      </c>
      <c r="E9" s="1">
        <v>2.9301265164559971</v>
      </c>
      <c r="F9" s="1">
        <v>14.42</v>
      </c>
      <c r="G9" s="1">
        <v>2.6686161318568029</v>
      </c>
      <c r="H9" s="2">
        <v>315.5</v>
      </c>
      <c r="I9" s="2">
        <v>5.7541586819812682</v>
      </c>
      <c r="J9" s="2">
        <v>85</v>
      </c>
      <c r="K9" s="2">
        <v>4.4426512564903167</v>
      </c>
      <c r="L9" s="1">
        <v>221.25</v>
      </c>
      <c r="M9" s="1">
        <v>5.3992932838880385</v>
      </c>
    </row>
    <row r="10" spans="1:13" x14ac:dyDescent="0.25">
      <c r="A10">
        <v>9</v>
      </c>
      <c r="B10" s="1">
        <v>20.12</v>
      </c>
      <c r="C10" s="1">
        <v>3.0017143452315387</v>
      </c>
      <c r="D10" s="1">
        <v>18.75</v>
      </c>
      <c r="E10" s="1">
        <v>2.9311937524164198</v>
      </c>
      <c r="F10" s="1">
        <v>13.83</v>
      </c>
      <c r="G10" s="1">
        <v>2.6268401456766668</v>
      </c>
      <c r="H10" s="2">
        <v>217</v>
      </c>
      <c r="I10" s="2">
        <v>5.3798973535404597</v>
      </c>
      <c r="J10" s="2">
        <v>59</v>
      </c>
      <c r="K10" s="2">
        <v>4.0775374439057197</v>
      </c>
      <c r="L10" s="1">
        <v>245.25</v>
      </c>
      <c r="M10" s="1">
        <v>5.5022780984454727</v>
      </c>
    </row>
    <row r="11" spans="1:13" x14ac:dyDescent="0.25">
      <c r="A11">
        <v>10</v>
      </c>
      <c r="B11" s="1">
        <v>20.13</v>
      </c>
      <c r="C11" s="1">
        <v>3.0022112396517002</v>
      </c>
      <c r="D11" s="1">
        <v>18.75</v>
      </c>
      <c r="E11" s="1">
        <v>2.9311937524164198</v>
      </c>
      <c r="F11" s="1">
        <v>14.5</v>
      </c>
      <c r="G11" s="1">
        <v>2.6741486494265287</v>
      </c>
      <c r="H11" s="2">
        <v>209.5</v>
      </c>
      <c r="I11" s="2">
        <v>5.344723739362192</v>
      </c>
      <c r="J11" s="2">
        <v>63</v>
      </c>
      <c r="K11" s="2">
        <v>4.1431347263915326</v>
      </c>
      <c r="L11" s="1">
        <v>148.5</v>
      </c>
      <c r="M11" s="1">
        <v>5.0005849582427544</v>
      </c>
    </row>
    <row r="12" spans="1:13" x14ac:dyDescent="0.25">
      <c r="A12">
        <v>11</v>
      </c>
      <c r="B12" s="1">
        <v>20.14</v>
      </c>
      <c r="C12" s="1">
        <v>3.0027078872904163</v>
      </c>
      <c r="D12" s="1">
        <v>18.75</v>
      </c>
      <c r="E12" s="1">
        <v>2.9311937524164198</v>
      </c>
      <c r="F12" s="1">
        <v>13.87</v>
      </c>
      <c r="G12" s="1">
        <v>2.6297282343267403</v>
      </c>
      <c r="H12" s="2">
        <v>227</v>
      </c>
      <c r="I12" s="2">
        <v>5.4249500174814029</v>
      </c>
      <c r="J12" s="2">
        <v>57</v>
      </c>
      <c r="K12" s="2">
        <v>4.0430512678345503</v>
      </c>
      <c r="L12" s="1">
        <v>229.75</v>
      </c>
      <c r="M12" s="1">
        <v>5.4369917612357961</v>
      </c>
    </row>
    <row r="13" spans="1:13" x14ac:dyDescent="0.25">
      <c r="A13">
        <v>12</v>
      </c>
      <c r="B13" s="1">
        <v>20.12</v>
      </c>
      <c r="C13" s="1">
        <v>3.0017143452315387</v>
      </c>
      <c r="D13" s="1">
        <v>18.75</v>
      </c>
      <c r="E13" s="1">
        <v>2.9311937524164198</v>
      </c>
      <c r="F13" s="1">
        <v>13.64</v>
      </c>
      <c r="G13" s="1">
        <v>2.6130066524153159</v>
      </c>
      <c r="H13" s="2">
        <v>216.5</v>
      </c>
      <c r="I13" s="2">
        <v>5.3775905474425443</v>
      </c>
      <c r="J13" s="2">
        <v>54</v>
      </c>
      <c r="K13" s="2">
        <v>3.9889840465642745</v>
      </c>
      <c r="L13" s="1">
        <v>312</v>
      </c>
      <c r="M13" s="1">
        <v>5.7430031878094825</v>
      </c>
    </row>
    <row r="14" spans="1:13" x14ac:dyDescent="0.25">
      <c r="A14">
        <v>13</v>
      </c>
      <c r="B14" s="1">
        <v>20.12</v>
      </c>
      <c r="C14" s="1">
        <v>3.0017143452315387</v>
      </c>
      <c r="D14" s="1">
        <v>13.87</v>
      </c>
      <c r="E14" s="1">
        <v>2.6297282343267403</v>
      </c>
      <c r="F14" s="1">
        <v>14.31</v>
      </c>
      <c r="G14" s="1">
        <v>2.6609585935683597</v>
      </c>
      <c r="H14" s="2">
        <v>169</v>
      </c>
      <c r="I14" s="2">
        <v>5.1298987149230735</v>
      </c>
      <c r="J14" s="2">
        <v>404</v>
      </c>
      <c r="K14" s="2">
        <v>6.0014148779611505</v>
      </c>
      <c r="L14" s="1">
        <v>96.75</v>
      </c>
      <c r="M14" s="1">
        <v>4.5721303319098912</v>
      </c>
    </row>
    <row r="15" spans="1:13" x14ac:dyDescent="0.25">
      <c r="A15">
        <v>14</v>
      </c>
      <c r="B15" s="1">
        <v>20.13</v>
      </c>
      <c r="C15" s="1">
        <v>3.0022112396517002</v>
      </c>
      <c r="D15" s="1">
        <v>14.27</v>
      </c>
      <c r="E15" s="1">
        <v>2.6581594314887451</v>
      </c>
      <c r="F15" s="1">
        <v>13.85</v>
      </c>
      <c r="G15" s="1">
        <v>2.6282852326333477</v>
      </c>
      <c r="H15" s="2">
        <v>178</v>
      </c>
      <c r="I15" s="2">
        <v>5.181783550292085</v>
      </c>
      <c r="J15" s="2">
        <v>380</v>
      </c>
      <c r="K15" s="2">
        <v>5.9401712527204316</v>
      </c>
      <c r="L15" s="1">
        <v>123.25</v>
      </c>
      <c r="M15" s="1">
        <v>4.8142148129227991</v>
      </c>
    </row>
    <row r="16" spans="1:13" x14ac:dyDescent="0.25">
      <c r="A16">
        <v>15</v>
      </c>
      <c r="B16" s="1">
        <v>20.14</v>
      </c>
      <c r="C16" s="1">
        <v>3.0027078872904163</v>
      </c>
      <c r="D16" s="1">
        <v>18.760000000000002</v>
      </c>
      <c r="E16" s="1">
        <v>2.9317269435780786</v>
      </c>
      <c r="F16" s="1">
        <v>14.2</v>
      </c>
      <c r="G16" s="1">
        <v>2.653241964607215</v>
      </c>
      <c r="H16" s="2">
        <v>301.5</v>
      </c>
      <c r="I16" s="2">
        <v>5.7087700161672403</v>
      </c>
      <c r="J16" s="2">
        <v>65</v>
      </c>
      <c r="K16" s="2">
        <v>4.1743872698956368</v>
      </c>
      <c r="L16" s="1">
        <v>200.5</v>
      </c>
      <c r="M16" s="1">
        <v>5.3008142467466239</v>
      </c>
    </row>
    <row r="17" spans="1:13" x14ac:dyDescent="0.25">
      <c r="A17">
        <v>16</v>
      </c>
      <c r="B17" s="1">
        <v>20.14</v>
      </c>
      <c r="C17" s="1">
        <v>3.0027078872904163</v>
      </c>
      <c r="D17" s="1">
        <v>18.77</v>
      </c>
      <c r="E17" s="1">
        <v>2.9322598505984176</v>
      </c>
      <c r="F17" s="1">
        <v>13.64</v>
      </c>
      <c r="G17" s="1">
        <v>2.6130066524153159</v>
      </c>
      <c r="H17" s="2">
        <v>266.5</v>
      </c>
      <c r="I17" s="2">
        <v>5.5853742436058988</v>
      </c>
      <c r="J17" s="2">
        <v>40</v>
      </c>
      <c r="K17" s="2">
        <v>3.6888794541139363</v>
      </c>
      <c r="L17" s="1">
        <v>359.75</v>
      </c>
      <c r="M17" s="1">
        <v>5.885409345767477</v>
      </c>
    </row>
    <row r="18" spans="1:13" x14ac:dyDescent="0.25">
      <c r="A18">
        <v>17</v>
      </c>
      <c r="B18" s="1">
        <v>20.13</v>
      </c>
      <c r="C18" s="1">
        <v>3.0022112396517002</v>
      </c>
      <c r="D18" s="1">
        <v>13.87</v>
      </c>
      <c r="E18" s="1">
        <v>2.6297282343267403</v>
      </c>
      <c r="F18" s="1">
        <v>14.33</v>
      </c>
      <c r="G18" s="1">
        <v>2.6623552418400807</v>
      </c>
      <c r="H18" s="2">
        <v>182.5</v>
      </c>
      <c r="I18" s="2">
        <v>5.2067501730225461</v>
      </c>
      <c r="J18" s="2">
        <v>456</v>
      </c>
      <c r="K18" s="2">
        <v>6.1224928095143865</v>
      </c>
      <c r="L18" s="1">
        <v>113.5</v>
      </c>
      <c r="M18" s="1">
        <v>4.7318028369214575</v>
      </c>
    </row>
    <row r="19" spans="1:13" x14ac:dyDescent="0.25">
      <c r="A19">
        <v>18</v>
      </c>
      <c r="B19" s="1">
        <v>20.13</v>
      </c>
      <c r="C19" s="1">
        <v>3.0022112396517002</v>
      </c>
      <c r="D19" s="1">
        <v>14.14</v>
      </c>
      <c r="E19" s="1">
        <v>2.6490076604684267</v>
      </c>
      <c r="F19" s="1">
        <v>13.14</v>
      </c>
      <c r="G19" s="1">
        <v>2.5756610130564646</v>
      </c>
      <c r="H19" s="2">
        <v>159</v>
      </c>
      <c r="I19" s="2">
        <v>5.0689042022202315</v>
      </c>
      <c r="J19" s="2">
        <v>176</v>
      </c>
      <c r="K19" s="2">
        <v>5.1704839950381514</v>
      </c>
      <c r="L19" s="1">
        <v>136.5</v>
      </c>
      <c r="M19" s="1">
        <v>4.9163246146250144</v>
      </c>
    </row>
    <row r="20" spans="1:13" x14ac:dyDescent="0.25">
      <c r="A20">
        <v>19</v>
      </c>
      <c r="B20" s="1">
        <v>20.13</v>
      </c>
      <c r="C20" s="1">
        <v>3.0022112396517002</v>
      </c>
      <c r="D20" s="1">
        <v>18.760000000000002</v>
      </c>
      <c r="E20" s="1">
        <v>2.9317269435780786</v>
      </c>
      <c r="F20" s="1">
        <v>13.81</v>
      </c>
      <c r="G20" s="1">
        <v>2.6253929674212007</v>
      </c>
      <c r="H20" s="2">
        <v>285.5</v>
      </c>
      <c r="I20" s="2">
        <v>5.6542420290960651</v>
      </c>
      <c r="J20" s="2">
        <v>61</v>
      </c>
      <c r="K20" s="2">
        <v>4.1108738641733114</v>
      </c>
      <c r="L20" s="1">
        <v>225.5</v>
      </c>
      <c r="M20" s="1">
        <v>5.4183201589427332</v>
      </c>
    </row>
    <row r="21" spans="1:13" x14ac:dyDescent="0.25">
      <c r="A21">
        <v>20</v>
      </c>
      <c r="B21" s="1">
        <v>20.13</v>
      </c>
      <c r="C21" s="1">
        <v>3.0022112396517002</v>
      </c>
      <c r="D21" s="1">
        <v>18.72</v>
      </c>
      <c r="E21" s="1">
        <v>2.9295924710494461</v>
      </c>
      <c r="F21" s="1">
        <v>15.19</v>
      </c>
      <c r="G21" s="1">
        <v>2.7206373166076814</v>
      </c>
      <c r="H21" s="2">
        <v>360</v>
      </c>
      <c r="I21" s="2">
        <v>5.8861040314501558</v>
      </c>
      <c r="J21" s="2">
        <v>91</v>
      </c>
      <c r="K21" s="2">
        <v>4.5108595065168497</v>
      </c>
      <c r="L21" s="1">
        <v>122.25</v>
      </c>
      <c r="M21" s="1">
        <v>4.8060681283549815</v>
      </c>
    </row>
    <row r="22" spans="1:13" x14ac:dyDescent="0.25">
      <c r="A22">
        <v>21</v>
      </c>
      <c r="B22" s="1">
        <v>20.13</v>
      </c>
      <c r="C22" s="1">
        <v>3.0022112396517002</v>
      </c>
      <c r="D22" s="1">
        <v>18.760000000000002</v>
      </c>
      <c r="E22" s="1">
        <v>2.9317269435780786</v>
      </c>
      <c r="F22" s="1">
        <v>13.13</v>
      </c>
      <c r="G22" s="1">
        <v>2.5748996883147051</v>
      </c>
      <c r="H22" s="2">
        <v>263</v>
      </c>
      <c r="I22" s="2">
        <v>5.5721540321777647</v>
      </c>
      <c r="J22" s="2">
        <v>59</v>
      </c>
      <c r="K22" s="2">
        <v>4.0775374439057197</v>
      </c>
      <c r="L22" s="1">
        <v>443.75</v>
      </c>
      <c r="M22" s="1">
        <v>6.0952613407896257</v>
      </c>
    </row>
    <row r="23" spans="1:13" x14ac:dyDescent="0.25">
      <c r="A23">
        <v>22</v>
      </c>
      <c r="B23" s="1">
        <v>19.18</v>
      </c>
      <c r="C23" s="1">
        <v>2.9538680694552921</v>
      </c>
      <c r="D23" s="1">
        <v>18.760000000000002</v>
      </c>
      <c r="E23" s="1">
        <v>2.9317269435780786</v>
      </c>
      <c r="F23" s="1">
        <v>13.63</v>
      </c>
      <c r="G23" s="1">
        <v>2.6122732457084412</v>
      </c>
      <c r="H23" s="2">
        <v>443.5</v>
      </c>
      <c r="I23" s="2">
        <v>6.0946978017496338</v>
      </c>
      <c r="J23" s="2">
        <v>83</v>
      </c>
      <c r="K23" s="2">
        <v>4.4188406077965983</v>
      </c>
      <c r="L23" s="1">
        <v>322.75</v>
      </c>
      <c r="M23" s="1">
        <v>5.7768780297267517</v>
      </c>
    </row>
    <row r="24" spans="1:13" x14ac:dyDescent="0.25">
      <c r="A24">
        <v>23</v>
      </c>
      <c r="B24" s="1">
        <v>14.78</v>
      </c>
      <c r="C24" s="1">
        <v>2.6932749155200555</v>
      </c>
      <c r="D24" s="1">
        <v>18.739999999999998</v>
      </c>
      <c r="E24" s="1">
        <v>2.9306602768102761</v>
      </c>
      <c r="F24" s="1">
        <v>15.19</v>
      </c>
      <c r="G24" s="1">
        <v>2.7206373166076814</v>
      </c>
      <c r="H24" s="2">
        <v>1101.5</v>
      </c>
      <c r="I24" s="2">
        <v>7.0044281662423975</v>
      </c>
      <c r="J24" s="2">
        <v>41</v>
      </c>
      <c r="K24" s="2">
        <v>3.713572066704308</v>
      </c>
      <c r="L24" s="1">
        <v>53</v>
      </c>
      <c r="M24" s="1">
        <v>3.970291913552122</v>
      </c>
    </row>
    <row r="25" spans="1:13" x14ac:dyDescent="0.25">
      <c r="A25">
        <v>24</v>
      </c>
      <c r="B25" s="1">
        <v>16.04</v>
      </c>
      <c r="C25" s="1">
        <v>2.7750856024383683</v>
      </c>
      <c r="D25" s="1">
        <v>18.75</v>
      </c>
      <c r="E25" s="1">
        <v>2.9311937524164198</v>
      </c>
      <c r="F25" s="1">
        <v>13.89</v>
      </c>
      <c r="G25" s="1">
        <v>2.6311691567662523</v>
      </c>
      <c r="H25" s="2">
        <v>814</v>
      </c>
      <c r="I25" s="2">
        <v>6.70196036600254</v>
      </c>
      <c r="J25" s="2">
        <v>47</v>
      </c>
      <c r="K25" s="2">
        <v>3.8501476017100584</v>
      </c>
      <c r="L25" s="1">
        <v>140.75</v>
      </c>
      <c r="M25" s="1">
        <v>4.9469852670197998</v>
      </c>
    </row>
    <row r="26" spans="1:13" x14ac:dyDescent="0.25">
      <c r="A26">
        <v>25</v>
      </c>
      <c r="B26" s="1">
        <v>20.12</v>
      </c>
      <c r="C26" s="1">
        <v>3.0017143452315387</v>
      </c>
      <c r="D26" s="1">
        <v>18.75</v>
      </c>
      <c r="E26" s="1">
        <v>2.9311937524164198</v>
      </c>
      <c r="F26" s="1">
        <v>14.28</v>
      </c>
      <c r="G26" s="1">
        <v>2.6588599569114382</v>
      </c>
      <c r="H26" s="2">
        <v>365</v>
      </c>
      <c r="I26" s="2">
        <v>5.8998973535824915</v>
      </c>
      <c r="J26" s="2">
        <v>84</v>
      </c>
      <c r="K26" s="2">
        <v>4.4308167988433134</v>
      </c>
      <c r="L26" s="1">
        <v>210.75</v>
      </c>
      <c r="M26" s="1">
        <v>5.3506725968819646</v>
      </c>
    </row>
    <row r="27" spans="1:13" x14ac:dyDescent="0.25">
      <c r="A27">
        <v>26</v>
      </c>
      <c r="B27" s="1">
        <v>19.75</v>
      </c>
      <c r="C27" s="1">
        <v>2.9831534913471307</v>
      </c>
      <c r="D27" s="1">
        <v>18.75</v>
      </c>
      <c r="E27" s="1">
        <v>2.9311937524164198</v>
      </c>
      <c r="F27" s="1">
        <v>15.19</v>
      </c>
      <c r="G27" s="1">
        <v>2.7206373166076814</v>
      </c>
      <c r="H27" s="2">
        <v>510</v>
      </c>
      <c r="I27" s="2">
        <v>6.2344107257183712</v>
      </c>
      <c r="J27" s="2">
        <v>85</v>
      </c>
      <c r="K27" s="2">
        <v>4.4426512564903167</v>
      </c>
      <c r="L27" s="1">
        <v>110.5</v>
      </c>
      <c r="M27" s="1">
        <v>4.705015520957808</v>
      </c>
    </row>
    <row r="28" spans="1:13" x14ac:dyDescent="0.25">
      <c r="A28">
        <v>27</v>
      </c>
      <c r="B28" s="1">
        <v>19.649999999999999</v>
      </c>
      <c r="C28" s="1">
        <v>2.9780773383152703</v>
      </c>
      <c r="D28" s="1">
        <v>18.75</v>
      </c>
      <c r="E28" s="1">
        <v>2.9311937524164198</v>
      </c>
      <c r="F28" s="1">
        <v>13.12</v>
      </c>
      <c r="G28" s="1">
        <v>2.5741377835159431</v>
      </c>
      <c r="H28" s="2">
        <v>580.5</v>
      </c>
      <c r="I28" s="2">
        <v>6.3638898011379466</v>
      </c>
      <c r="J28" s="2">
        <v>116</v>
      </c>
      <c r="K28" s="2">
        <v>4.7535901911063645</v>
      </c>
      <c r="L28" s="1">
        <v>568.25</v>
      </c>
      <c r="M28" s="1">
        <v>6.342561462732653</v>
      </c>
    </row>
    <row r="29" spans="1:13" x14ac:dyDescent="0.25">
      <c r="A29">
        <v>28</v>
      </c>
      <c r="B29" s="1">
        <v>19.690000000000001</v>
      </c>
      <c r="C29" s="1">
        <v>2.9801108926510342</v>
      </c>
      <c r="D29" s="1">
        <v>13.79</v>
      </c>
      <c r="E29" s="1">
        <v>2.6239436918052106</v>
      </c>
      <c r="F29" s="1">
        <v>13.78</v>
      </c>
      <c r="G29" s="1">
        <v>2.6232182655855123</v>
      </c>
      <c r="H29" s="2">
        <v>251</v>
      </c>
      <c r="I29" s="2">
        <v>5.5254529391317835</v>
      </c>
      <c r="J29" s="2">
        <v>544</v>
      </c>
      <c r="K29" s="2">
        <v>6.2989492468559423</v>
      </c>
      <c r="L29" s="1">
        <v>115.5</v>
      </c>
      <c r="M29" s="1">
        <v>4.7492705299618478</v>
      </c>
    </row>
    <row r="30" spans="1:13" x14ac:dyDescent="0.25">
      <c r="A30">
        <v>29</v>
      </c>
      <c r="B30" s="1">
        <v>20.12</v>
      </c>
      <c r="C30" s="1">
        <v>3.0017143452315387</v>
      </c>
      <c r="D30" s="1">
        <v>13.49</v>
      </c>
      <c r="E30" s="1">
        <v>2.6019486702196644</v>
      </c>
      <c r="F30" s="1">
        <v>15.19</v>
      </c>
      <c r="G30" s="1">
        <v>2.7206373166076814</v>
      </c>
      <c r="H30" s="2">
        <v>237</v>
      </c>
      <c r="I30" s="2">
        <v>5.4680601411351315</v>
      </c>
      <c r="J30" s="2">
        <v>890</v>
      </c>
      <c r="K30" s="2">
        <v>6.7912214627261855</v>
      </c>
      <c r="L30" s="1">
        <v>58.75</v>
      </c>
      <c r="M30" s="1">
        <v>4.0732911530242681</v>
      </c>
    </row>
    <row r="31" spans="1:13" x14ac:dyDescent="0.25">
      <c r="A31">
        <v>30</v>
      </c>
      <c r="B31" s="1">
        <v>20.12</v>
      </c>
      <c r="C31" s="1">
        <v>3.0017143452315387</v>
      </c>
      <c r="D31" s="1">
        <v>14.89</v>
      </c>
      <c r="E31" s="1">
        <v>2.7006898466959175</v>
      </c>
      <c r="F31" s="1">
        <v>15.19</v>
      </c>
      <c r="G31" s="1">
        <v>2.7206373166076814</v>
      </c>
      <c r="H31" s="2">
        <v>302.5</v>
      </c>
      <c r="I31" s="2">
        <v>5.7120812774708964</v>
      </c>
      <c r="J31" s="2">
        <v>371</v>
      </c>
      <c r="K31" s="2">
        <v>5.916202062607435</v>
      </c>
      <c r="L31" s="1">
        <v>77.25</v>
      </c>
      <c r="M31" s="1">
        <v>4.3470469157778551</v>
      </c>
    </row>
    <row r="32" spans="1:13" x14ac:dyDescent="0.25">
      <c r="A32">
        <v>31</v>
      </c>
      <c r="B32" s="1">
        <v>20.13</v>
      </c>
      <c r="C32" s="1">
        <v>3.0022112396517002</v>
      </c>
      <c r="D32" s="1">
        <v>13.94</v>
      </c>
      <c r="E32" s="1">
        <v>2.6347624053323777</v>
      </c>
      <c r="F32" s="1">
        <v>15.19</v>
      </c>
      <c r="G32" s="1">
        <v>2.7206373166076814</v>
      </c>
      <c r="H32" s="2">
        <v>229.5</v>
      </c>
      <c r="I32" s="2">
        <v>5.4359030295005999</v>
      </c>
      <c r="J32" s="2">
        <v>557</v>
      </c>
      <c r="K32" s="2">
        <v>6.3225652399272843</v>
      </c>
      <c r="L32" s="1">
        <v>66.25</v>
      </c>
      <c r="M32" s="1">
        <v>4.1934354648663312</v>
      </c>
    </row>
    <row r="33" spans="1:13" x14ac:dyDescent="0.25">
      <c r="A33">
        <v>32</v>
      </c>
      <c r="B33" s="1">
        <v>20.14</v>
      </c>
      <c r="C33" s="1">
        <v>3.0027078872904163</v>
      </c>
      <c r="D33" s="1">
        <v>13.67</v>
      </c>
      <c r="E33" s="1">
        <v>2.6152036507358583</v>
      </c>
      <c r="F33" s="1">
        <v>15.19</v>
      </c>
      <c r="G33" s="1">
        <v>2.7206373166076814</v>
      </c>
      <c r="H33" s="2">
        <v>188.5</v>
      </c>
      <c r="I33" s="2">
        <v>5.2390980068880655</v>
      </c>
      <c r="J33" s="2">
        <v>775</v>
      </c>
      <c r="K33" s="2">
        <v>6.6528630293533473</v>
      </c>
      <c r="L33" s="1">
        <v>50</v>
      </c>
      <c r="M33" s="1">
        <v>3.912023005428146</v>
      </c>
    </row>
    <row r="34" spans="1:13" x14ac:dyDescent="0.25">
      <c r="A34">
        <v>33</v>
      </c>
      <c r="B34" s="1">
        <v>15.14</v>
      </c>
      <c r="C34" s="1">
        <v>2.717340248009303</v>
      </c>
      <c r="D34" s="1">
        <v>14.43</v>
      </c>
      <c r="E34" s="1">
        <v>2.6693093727857793</v>
      </c>
      <c r="F34" s="1">
        <v>15.19</v>
      </c>
      <c r="G34" s="1">
        <v>2.7206373166076814</v>
      </c>
      <c r="H34" s="2">
        <v>795.5</v>
      </c>
      <c r="I34" s="2">
        <v>6.6789708477778413</v>
      </c>
      <c r="J34" s="2">
        <v>236</v>
      </c>
      <c r="K34" s="2">
        <v>5.4638318050256105</v>
      </c>
      <c r="L34" s="1">
        <v>46.5</v>
      </c>
      <c r="M34" s="1">
        <v>3.8394523125933104</v>
      </c>
    </row>
    <row r="35" spans="1:13" x14ac:dyDescent="0.25">
      <c r="A35">
        <v>34</v>
      </c>
      <c r="B35" s="1">
        <v>14.33</v>
      </c>
      <c r="C35" s="1">
        <v>2.6623552418400807</v>
      </c>
      <c r="D35" s="1">
        <v>18.75</v>
      </c>
      <c r="E35" s="1">
        <v>2.9311937524164198</v>
      </c>
      <c r="F35" s="1">
        <v>15.19</v>
      </c>
      <c r="G35" s="1">
        <v>2.7206373166076814</v>
      </c>
      <c r="H35" s="2">
        <v>1556.5</v>
      </c>
      <c r="I35" s="2">
        <v>7.350194989881663</v>
      </c>
      <c r="J35" s="2">
        <v>43</v>
      </c>
      <c r="K35" s="2">
        <v>3.7612001156935624</v>
      </c>
      <c r="L35" s="1">
        <v>65.75</v>
      </c>
      <c r="M35" s="1">
        <v>4.1858596710578739</v>
      </c>
    </row>
    <row r="36" spans="1:13" x14ac:dyDescent="0.25">
      <c r="A36">
        <v>35</v>
      </c>
      <c r="B36" s="1">
        <v>16.239999999999998</v>
      </c>
      <c r="C36" s="1">
        <v>2.787477334733532</v>
      </c>
      <c r="D36" s="1">
        <v>18.22</v>
      </c>
      <c r="E36" s="1">
        <v>2.9025198918318122</v>
      </c>
      <c r="F36" s="1">
        <v>13.14</v>
      </c>
      <c r="G36" s="1">
        <v>2.5756610130564646</v>
      </c>
      <c r="H36" s="2">
        <v>807.5</v>
      </c>
      <c r="I36" s="2">
        <v>6.6939430550968115</v>
      </c>
      <c r="J36" s="2">
        <v>63</v>
      </c>
      <c r="K36" s="2">
        <v>4.1431347263915326</v>
      </c>
      <c r="L36" s="1">
        <v>252.75</v>
      </c>
      <c r="M36" s="1">
        <v>5.5324008579005808</v>
      </c>
    </row>
    <row r="37" spans="1:13" x14ac:dyDescent="0.25">
      <c r="A37">
        <v>36</v>
      </c>
      <c r="B37" s="1">
        <v>19.93</v>
      </c>
      <c r="C37" s="1">
        <v>2.9922261342247034</v>
      </c>
      <c r="D37" s="1">
        <v>14.06</v>
      </c>
      <c r="E37" s="1">
        <v>2.6433338863825191</v>
      </c>
      <c r="F37" s="1">
        <v>13.45</v>
      </c>
      <c r="G37" s="1">
        <v>2.5989791060478482</v>
      </c>
      <c r="H37" s="2">
        <v>243</v>
      </c>
      <c r="I37" s="2">
        <v>5.4930614433405482</v>
      </c>
      <c r="J37" s="2">
        <v>469</v>
      </c>
      <c r="K37" s="2">
        <v>6.1506027684462792</v>
      </c>
      <c r="L37" s="1">
        <v>179</v>
      </c>
      <c r="M37" s="1">
        <v>5.1873858058407549</v>
      </c>
    </row>
    <row r="38" spans="1:13" x14ac:dyDescent="0.25">
      <c r="A38">
        <v>37</v>
      </c>
      <c r="B38" s="1">
        <v>21.06</v>
      </c>
      <c r="C38" s="1">
        <v>3.0473755067058295</v>
      </c>
      <c r="D38" s="1">
        <v>14.43</v>
      </c>
      <c r="E38" s="1">
        <v>2.6693093727857793</v>
      </c>
      <c r="F38" s="1">
        <v>13</v>
      </c>
      <c r="G38" s="1">
        <v>2.5649493574615367</v>
      </c>
      <c r="H38" s="2">
        <v>201.5</v>
      </c>
      <c r="I38" s="2">
        <v>5.3057893813867381</v>
      </c>
      <c r="J38" s="2">
        <v>335</v>
      </c>
      <c r="K38" s="2">
        <v>5.8141305318250662</v>
      </c>
      <c r="L38" s="1">
        <v>226.25</v>
      </c>
      <c r="M38" s="1">
        <v>5.4216405825800358</v>
      </c>
    </row>
    <row r="39" spans="1:13" x14ac:dyDescent="0.25">
      <c r="A39">
        <v>38</v>
      </c>
      <c r="B39" s="1">
        <v>21.19</v>
      </c>
      <c r="C39" s="1">
        <v>3.0535293722802077</v>
      </c>
      <c r="D39" s="1">
        <v>19.48</v>
      </c>
      <c r="E39" s="1">
        <v>2.9693882982143891</v>
      </c>
      <c r="F39" s="1">
        <v>13.6</v>
      </c>
      <c r="G39" s="1">
        <v>2.6100697927420065</v>
      </c>
      <c r="H39" s="2">
        <v>294</v>
      </c>
      <c r="I39" s="2">
        <v>5.6835797673386814</v>
      </c>
      <c r="J39" s="2">
        <v>75</v>
      </c>
      <c r="K39" s="2">
        <v>4.3174881135363101</v>
      </c>
      <c r="L39" s="1">
        <v>288.5</v>
      </c>
      <c r="M39" s="1">
        <v>5.6646950859481544</v>
      </c>
    </row>
    <row r="40" spans="1:13" x14ac:dyDescent="0.25">
      <c r="A40">
        <v>39</v>
      </c>
      <c r="B40" s="1">
        <v>21.23</v>
      </c>
      <c r="C40" s="1">
        <v>3.0554152757151649</v>
      </c>
      <c r="D40" s="1">
        <v>15.15</v>
      </c>
      <c r="E40" s="1">
        <v>2.7180005319553784</v>
      </c>
      <c r="F40" s="1">
        <v>14.46</v>
      </c>
      <c r="G40" s="1">
        <v>2.6713862167306188</v>
      </c>
      <c r="H40" s="2">
        <v>220.5</v>
      </c>
      <c r="I40" s="2">
        <v>5.3958976948869006</v>
      </c>
      <c r="J40" s="2">
        <v>461</v>
      </c>
      <c r="K40" s="2">
        <v>6.1333980429966486</v>
      </c>
      <c r="L40" s="1">
        <v>114.25</v>
      </c>
      <c r="M40" s="1">
        <v>4.7383890297743143</v>
      </c>
    </row>
    <row r="41" spans="1:13" x14ac:dyDescent="0.25">
      <c r="A41">
        <v>40</v>
      </c>
      <c r="B41" s="1">
        <v>20.12</v>
      </c>
      <c r="C41" s="1">
        <v>3.0017143452315387</v>
      </c>
      <c r="D41" s="1">
        <v>13.79</v>
      </c>
      <c r="E41" s="1">
        <v>2.6239436918052106</v>
      </c>
      <c r="F41" s="1">
        <v>14.94</v>
      </c>
      <c r="G41" s="1">
        <v>2.7040421797046714</v>
      </c>
      <c r="H41" s="2">
        <v>255.5</v>
      </c>
      <c r="I41" s="2">
        <v>5.543222409643759</v>
      </c>
      <c r="J41" s="2">
        <v>817</v>
      </c>
      <c r="K41" s="2">
        <v>6.7056390948600031</v>
      </c>
      <c r="L41" s="1">
        <v>70</v>
      </c>
      <c r="M41" s="1">
        <v>4.2484952420493594</v>
      </c>
    </row>
    <row r="42" spans="1:13" x14ac:dyDescent="0.25">
      <c r="A42">
        <v>41</v>
      </c>
      <c r="B42" s="1">
        <v>14.73</v>
      </c>
      <c r="C42" s="1">
        <v>2.689886230474539</v>
      </c>
      <c r="D42" s="1">
        <v>14.31</v>
      </c>
      <c r="E42" s="1">
        <v>2.6609585935683597</v>
      </c>
      <c r="F42" s="1">
        <v>15.19</v>
      </c>
      <c r="G42" s="1">
        <v>2.7206373166076814</v>
      </c>
      <c r="H42" s="2">
        <v>920.5</v>
      </c>
      <c r="I42" s="2">
        <v>6.8249170006731328</v>
      </c>
      <c r="J42" s="2">
        <v>200</v>
      </c>
      <c r="K42" s="2">
        <v>5.2983173665480363</v>
      </c>
      <c r="L42" s="1">
        <v>47.75</v>
      </c>
      <c r="M42" s="1">
        <v>3.8659790669267391</v>
      </c>
    </row>
    <row r="43" spans="1:13" x14ac:dyDescent="0.25">
      <c r="A43">
        <v>42</v>
      </c>
      <c r="B43" s="1">
        <v>14.57</v>
      </c>
      <c r="C43" s="1">
        <v>2.6789646202071133</v>
      </c>
      <c r="D43" s="1">
        <v>19.5</v>
      </c>
      <c r="E43" s="1">
        <v>2.9704144655697009</v>
      </c>
      <c r="F43" s="1">
        <v>15.19</v>
      </c>
      <c r="G43" s="1">
        <v>2.7206373166076814</v>
      </c>
      <c r="H43" s="2">
        <v>730</v>
      </c>
      <c r="I43" s="2">
        <v>6.5930445341424369</v>
      </c>
      <c r="J43" s="2">
        <v>32</v>
      </c>
      <c r="K43" s="2">
        <v>3.4657359027997265</v>
      </c>
      <c r="L43" s="1">
        <v>98.75</v>
      </c>
      <c r="M43" s="1">
        <v>4.5925914037812312</v>
      </c>
    </row>
    <row r="44" spans="1:13" x14ac:dyDescent="0.25">
      <c r="A44">
        <v>43</v>
      </c>
      <c r="B44" s="1">
        <v>15.94</v>
      </c>
      <c r="C44" s="1">
        <v>2.7688316733620688</v>
      </c>
      <c r="D44" s="1">
        <v>13.85</v>
      </c>
      <c r="E44" s="1">
        <v>2.6282852326333477</v>
      </c>
      <c r="F44" s="1">
        <v>15.19</v>
      </c>
      <c r="G44" s="1">
        <v>2.7206373166076814</v>
      </c>
      <c r="H44" s="2">
        <v>262.5</v>
      </c>
      <c r="I44" s="2">
        <v>5.5702510820316782</v>
      </c>
      <c r="J44" s="2">
        <v>460</v>
      </c>
      <c r="K44" s="2">
        <v>6.131226489483141</v>
      </c>
      <c r="L44" s="1">
        <v>77</v>
      </c>
      <c r="M44" s="1">
        <v>4.3438054218536841</v>
      </c>
    </row>
    <row r="45" spans="1:13" x14ac:dyDescent="0.25">
      <c r="A45">
        <v>44</v>
      </c>
      <c r="B45" s="1">
        <v>20.7</v>
      </c>
      <c r="C45" s="1">
        <v>3.0301337002713233</v>
      </c>
      <c r="D45" s="1">
        <v>14.23</v>
      </c>
      <c r="E45" s="1">
        <v>2.6553524121017609</v>
      </c>
      <c r="F45" s="1">
        <v>13.43</v>
      </c>
      <c r="G45" s="1">
        <v>2.5974910105351463</v>
      </c>
      <c r="H45" s="2">
        <v>209.5</v>
      </c>
      <c r="I45" s="2">
        <v>5.344723739362192</v>
      </c>
      <c r="J45" s="2">
        <v>751</v>
      </c>
      <c r="K45" s="2">
        <v>6.6214056517641344</v>
      </c>
      <c r="L45" s="1">
        <v>160.5</v>
      </c>
      <c r="M45" s="1">
        <v>5.0782939425700704</v>
      </c>
    </row>
    <row r="46" spans="1:13" x14ac:dyDescent="0.25">
      <c r="A46">
        <v>45</v>
      </c>
      <c r="B46" s="1">
        <v>19.57</v>
      </c>
      <c r="C46" s="1">
        <v>2.9739977814079848</v>
      </c>
      <c r="D46" s="1">
        <v>19.309999999999999</v>
      </c>
      <c r="E46" s="1">
        <v>2.9606230964404232</v>
      </c>
      <c r="F46" s="1">
        <v>14.37</v>
      </c>
      <c r="G46" s="1">
        <v>2.6651427000909336</v>
      </c>
      <c r="H46" s="2">
        <v>283</v>
      </c>
      <c r="I46" s="2">
        <v>5.6454468976432377</v>
      </c>
      <c r="J46" s="2">
        <v>70</v>
      </c>
      <c r="K46" s="2">
        <v>4.2484952420493594</v>
      </c>
      <c r="L46" s="1">
        <v>143.5</v>
      </c>
      <c r="M46" s="1">
        <v>4.966335035199676</v>
      </c>
    </row>
    <row r="47" spans="1:13" x14ac:dyDescent="0.25">
      <c r="A47">
        <v>46</v>
      </c>
      <c r="B47" s="1">
        <v>19.600000000000001</v>
      </c>
      <c r="C47" s="1">
        <v>2.9755295662364718</v>
      </c>
      <c r="D47" s="1">
        <v>19.29</v>
      </c>
      <c r="E47" s="1">
        <v>2.9595868269176377</v>
      </c>
      <c r="F47" s="1">
        <v>15.19</v>
      </c>
      <c r="G47" s="1">
        <v>2.7206373166076814</v>
      </c>
      <c r="H47" s="2">
        <v>262.5</v>
      </c>
      <c r="I47" s="2">
        <v>5.5702510820316782</v>
      </c>
      <c r="J47" s="2">
        <v>80</v>
      </c>
      <c r="K47" s="2">
        <v>4.3820266346738812</v>
      </c>
      <c r="L47" s="1">
        <v>133</v>
      </c>
      <c r="M47" s="1">
        <v>4.8903491282217537</v>
      </c>
    </row>
    <row r="48" spans="1:13" x14ac:dyDescent="0.25">
      <c r="A48">
        <v>47</v>
      </c>
      <c r="B48" s="1">
        <v>19.940000000000001</v>
      </c>
      <c r="C48" s="1">
        <v>2.9927277645336923</v>
      </c>
      <c r="D48" s="1">
        <v>13.76</v>
      </c>
      <c r="E48" s="1">
        <v>2.6217658325051976</v>
      </c>
      <c r="F48" s="1">
        <v>15.19</v>
      </c>
      <c r="G48" s="1">
        <v>2.7206373166076814</v>
      </c>
      <c r="H48" s="2">
        <v>310</v>
      </c>
      <c r="I48" s="2">
        <v>5.7365722974791922</v>
      </c>
      <c r="J48" s="2">
        <v>523</v>
      </c>
      <c r="K48" s="2">
        <v>6.2595814640649232</v>
      </c>
      <c r="L48" s="1">
        <v>68.75</v>
      </c>
      <c r="M48" s="1">
        <v>4.2304767365466809</v>
      </c>
    </row>
    <row r="49" spans="1:13" x14ac:dyDescent="0.25">
      <c r="A49">
        <v>48</v>
      </c>
      <c r="B49" s="1">
        <v>21.28</v>
      </c>
      <c r="C49" s="1">
        <v>3.0577676644734435</v>
      </c>
      <c r="D49" s="1">
        <v>13.45</v>
      </c>
      <c r="E49" s="1">
        <v>2.5989791060478482</v>
      </c>
      <c r="F49" s="1">
        <v>15.19</v>
      </c>
      <c r="G49" s="1">
        <v>2.7206373166076814</v>
      </c>
      <c r="H49" s="2">
        <v>278.5</v>
      </c>
      <c r="I49" s="2">
        <v>5.6294180593673389</v>
      </c>
      <c r="J49" s="2">
        <v>741</v>
      </c>
      <c r="K49" s="2">
        <v>6.6080006252960866</v>
      </c>
      <c r="L49" s="1">
        <v>81.75</v>
      </c>
      <c r="M49" s="1">
        <v>4.4036658097773627</v>
      </c>
    </row>
    <row r="50" spans="1:13" x14ac:dyDescent="0.25">
      <c r="A50">
        <v>49</v>
      </c>
      <c r="B50" s="1">
        <v>14.56</v>
      </c>
      <c r="C50" s="1">
        <v>2.67827804276854</v>
      </c>
      <c r="D50" s="1">
        <v>15.13</v>
      </c>
      <c r="E50" s="1">
        <v>2.7166795278002644</v>
      </c>
      <c r="F50" s="1">
        <v>15.19</v>
      </c>
      <c r="G50" s="1">
        <v>2.7206373166076814</v>
      </c>
      <c r="H50" s="2">
        <v>741.5</v>
      </c>
      <c r="I50" s="2">
        <v>6.6086751615779864</v>
      </c>
      <c r="J50" s="2">
        <v>130</v>
      </c>
      <c r="K50" s="2">
        <v>4.8675344504555822</v>
      </c>
      <c r="L50" s="1">
        <v>56.25</v>
      </c>
      <c r="M50" s="1">
        <v>4.0298060410845293</v>
      </c>
    </row>
    <row r="51" spans="1:13" x14ac:dyDescent="0.25">
      <c r="A51">
        <v>50</v>
      </c>
      <c r="B51" s="1">
        <v>14.39</v>
      </c>
      <c r="C51" s="1">
        <v>2.6665335208992764</v>
      </c>
      <c r="D51" s="1">
        <v>19.43</v>
      </c>
      <c r="E51" s="1">
        <v>2.9668182633893485</v>
      </c>
      <c r="F51" s="1">
        <v>15.19</v>
      </c>
      <c r="G51" s="1">
        <v>2.7206373166076814</v>
      </c>
      <c r="H51" s="2">
        <v>1316</v>
      </c>
      <c r="I51" s="2">
        <v>7.1823521118852627</v>
      </c>
      <c r="J51" s="2">
        <v>69</v>
      </c>
      <c r="K51" s="2">
        <v>4.2341065045972597</v>
      </c>
      <c r="L51" s="1">
        <v>68.75</v>
      </c>
      <c r="M51" s="1">
        <v>4.2304767365466809</v>
      </c>
    </row>
    <row r="52" spans="1:13" x14ac:dyDescent="0.25">
      <c r="A52">
        <v>51</v>
      </c>
      <c r="B52" s="1">
        <v>16.809999999999999</v>
      </c>
      <c r="C52" s="1">
        <v>2.8219739474205241</v>
      </c>
      <c r="D52" s="1">
        <v>13.26</v>
      </c>
      <c r="E52" s="1">
        <v>2.5847519847577165</v>
      </c>
      <c r="F52" s="1">
        <v>15.19</v>
      </c>
      <c r="G52" s="1">
        <v>2.7206373166076814</v>
      </c>
      <c r="H52" s="2">
        <v>449</v>
      </c>
      <c r="I52" s="2">
        <v>6.1070228877422545</v>
      </c>
      <c r="J52" s="2">
        <v>493</v>
      </c>
      <c r="K52" s="2">
        <v>6.2005091740426899</v>
      </c>
      <c r="L52" s="1">
        <v>49.25</v>
      </c>
      <c r="M52" s="1">
        <v>3.8969093676180977</v>
      </c>
    </row>
    <row r="53" spans="1:13" x14ac:dyDescent="0.25">
      <c r="A53">
        <v>52</v>
      </c>
      <c r="B53">
        <v>19.86</v>
      </c>
      <c r="C53">
        <v>2.9887076586170265</v>
      </c>
      <c r="D53">
        <v>13.92</v>
      </c>
      <c r="E53">
        <v>2.6333266549062735</v>
      </c>
      <c r="F53" s="1">
        <v>15.19</v>
      </c>
      <c r="G53" s="1">
        <v>2.7206373166076814</v>
      </c>
      <c r="H53" s="2">
        <v>505</v>
      </c>
      <c r="I53" s="2">
        <v>6.2245584292753602</v>
      </c>
      <c r="J53" s="2">
        <v>814</v>
      </c>
      <c r="K53" s="2">
        <v>6.70196036600254</v>
      </c>
      <c r="L53" s="1">
        <v>76.5</v>
      </c>
      <c r="M53" s="1">
        <v>4.3372907408324899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42"/>
  <sheetViews>
    <sheetView showGridLines="0" showRowColHeaders="0" tabSelected="1" workbookViewId="0">
      <selection activeCell="I10" sqref="I10"/>
    </sheetView>
  </sheetViews>
  <sheetFormatPr defaultRowHeight="11.25" outlineLevelRow="1" x14ac:dyDescent="0.2"/>
  <cols>
    <col min="1" max="1" width="13.28515625" style="3" customWidth="1"/>
    <col min="2" max="7" width="9.140625" style="3"/>
    <col min="8" max="8" width="9.28515625" style="3" bestFit="1" customWidth="1"/>
    <col min="9" max="77" width="9.140625" style="3"/>
    <col min="78" max="78" width="51.42578125" style="3" bestFit="1" customWidth="1"/>
    <col min="79" max="16384" width="9.140625" style="3"/>
  </cols>
  <sheetData>
    <row r="1" spans="1:78" ht="15" x14ac:dyDescent="0.25">
      <c r="A1" s="4" t="s">
        <v>7</v>
      </c>
      <c r="B1" s="3" t="s">
        <v>8</v>
      </c>
      <c r="E1"/>
      <c r="Z1" s="15" t="s">
        <v>9</v>
      </c>
      <c r="BZ1"/>
    </row>
    <row r="2" spans="1:78" x14ac:dyDescent="0.2">
      <c r="A2" s="4" t="s">
        <v>10</v>
      </c>
      <c r="C2" s="3" t="s">
        <v>11</v>
      </c>
      <c r="AA2" s="15" t="str">
        <f>"Forecasts and " &amp; TEXT($I$10, "0.0%") &amp; " confidence limits for means and forecasts
Linear price-demand model for CASES_18PK    (1 variable, n=52)"</f>
        <v>Forecasts and 95.0% confidence limits for means and forecasts
Linear price-demand model for CASES_18PK    (1 variable, n=52)</v>
      </c>
    </row>
    <row r="3" spans="1:78" ht="11.25" hidden="1" customHeight="1" outlineLevel="1" x14ac:dyDescent="0.2">
      <c r="A3" s="4" t="s">
        <v>12</v>
      </c>
      <c r="AA3" s="15" t="str">
        <f>IF($A$52 &lt;&gt; "","Actual and predicted -vs- Observation # with " &amp; TEXT($I$10, "0.0%") &amp; " confidence limits
Linear price-demand model for CASES_18PK    (1 variable, n=52)","Actual and predicted -vs- Observation #
Linear price-demand model for CASES_18PK    (1 variable, n=52)")</f>
        <v>Actual and predicted -vs- Observation # with 95.0% confidence limits
Linear price-demand model for CASES_18PK    (1 variable, n=52)</v>
      </c>
    </row>
    <row r="4" spans="1:78" hidden="1" outlineLevel="1" x14ac:dyDescent="0.2">
      <c r="A4" s="3" t="s">
        <v>13</v>
      </c>
    </row>
    <row r="5" spans="1:78" hidden="1" outlineLevel="1" x14ac:dyDescent="0.2">
      <c r="A5" s="4" t="s">
        <v>14</v>
      </c>
    </row>
    <row r="6" spans="1:78" hidden="1" outlineLevel="1" x14ac:dyDescent="0.2">
      <c r="A6" s="3" t="s">
        <v>15</v>
      </c>
    </row>
    <row r="7" spans="1:78" collapsed="1" x14ac:dyDescent="0.2"/>
    <row r="8" spans="1:78" x14ac:dyDescent="0.2">
      <c r="A8" s="5" t="s">
        <v>16</v>
      </c>
    </row>
    <row r="9" spans="1:78" ht="12" outlineLevel="1" thickBot="1" x14ac:dyDescent="0.25">
      <c r="A9" s="6"/>
      <c r="B9" s="7" t="s">
        <v>17</v>
      </c>
      <c r="C9" s="7" t="s">
        <v>18</v>
      </c>
      <c r="D9" s="7" t="s">
        <v>19</v>
      </c>
      <c r="E9" s="7" t="s">
        <v>20</v>
      </c>
      <c r="F9" s="7" t="s">
        <v>21</v>
      </c>
      <c r="G9" s="7" t="s">
        <v>22</v>
      </c>
      <c r="H9" s="7" t="str">
        <f>"t("&amp;TEXT((1-I10)/2,"0.00%") &amp; ",50)"</f>
        <v>t(2.50%,50)</v>
      </c>
      <c r="I9" s="7" t="s">
        <v>23</v>
      </c>
    </row>
    <row r="10" spans="1:78" outlineLevel="1" x14ac:dyDescent="0.2">
      <c r="B10" s="8">
        <f xml:space="preserve"> 1 - C20 / C21</f>
        <v>0.75065725896135527</v>
      </c>
      <c r="C10" s="8">
        <f>1-D10^2/E10^2</f>
        <v>0.74567040414058239</v>
      </c>
      <c r="D10" s="8">
        <f xml:space="preserve"> SQRT(D20)</f>
        <v>130.52852724537297</v>
      </c>
      <c r="E10" s="8">
        <v>258.82545569521773</v>
      </c>
      <c r="F10" s="9">
        <v>52</v>
      </c>
      <c r="G10" s="9">
        <v>0</v>
      </c>
      <c r="H10" s="3">
        <f>TINV(1 - $I$10, F10 - 1 - 1)</f>
        <v>2.0085591121007611</v>
      </c>
      <c r="I10" s="10">
        <v>0.95</v>
      </c>
    </row>
    <row r="12" spans="1:78" x14ac:dyDescent="0.2">
      <c r="A12" s="5" t="s">
        <v>24</v>
      </c>
    </row>
    <row r="13" spans="1:78" ht="12" outlineLevel="1" thickBot="1" x14ac:dyDescent="0.25">
      <c r="A13" s="11" t="s">
        <v>25</v>
      </c>
      <c r="B13" s="7" t="s">
        <v>26</v>
      </c>
      <c r="C13" s="7" t="s">
        <v>27</v>
      </c>
      <c r="D13" s="7" t="s">
        <v>28</v>
      </c>
      <c r="E13" s="7" t="s">
        <v>29</v>
      </c>
      <c r="F13" s="7" t="str">
        <f>IF($I$10&gt;99%,("Lower"&amp;TEXT($I$10,"0.0%")),("Lower"&amp;TEXT($I$10,"0%")))</f>
        <v>Lower95%</v>
      </c>
      <c r="G13" s="7" t="str">
        <f>IF($I$10&gt;99%,("Upper"&amp;TEXT($I$10,"0.0%")),("Upper"&amp;TEXT($I$10,"0%")))</f>
        <v>Upper95%</v>
      </c>
      <c r="H13" s="7" t="s">
        <v>20</v>
      </c>
      <c r="I13" s="7" t="s">
        <v>30</v>
      </c>
    </row>
    <row r="14" spans="1:78" outlineLevel="1" x14ac:dyDescent="0.2">
      <c r="A14" s="3" t="s">
        <v>31</v>
      </c>
      <c r="B14" s="12">
        <v>1812.1839385762057</v>
      </c>
      <c r="C14" s="8">
        <v>128.06995481417803</v>
      </c>
      <c r="D14" s="8">
        <f>(B14 - 0) / C14</f>
        <v>14.14995375929958</v>
      </c>
      <c r="E14" s="8">
        <f>TDIST(ABS(D14),$F$10 - 2,2)</f>
        <v>4.0999300419277716E-19</v>
      </c>
      <c r="F14" s="12">
        <f>B14 - TINV(1 - $I$10, $F$10 - 2) * C14</f>
        <v>1554.9478638478556</v>
      </c>
      <c r="G14" s="12">
        <f>B14 + TINV(1 - $I$10, $F$10 - 2) * C14</f>
        <v>2069.4200133045556</v>
      </c>
    </row>
    <row r="15" spans="1:78" outlineLevel="1" x14ac:dyDescent="0.2">
      <c r="A15" s="3" t="s">
        <v>13</v>
      </c>
      <c r="B15" s="8">
        <v>-93.007272566878385</v>
      </c>
      <c r="C15" s="8">
        <v>7.5807020418147513</v>
      </c>
      <c r="D15" s="8">
        <f>(B15 - 0) / C15</f>
        <v>-12.26895240755476</v>
      </c>
      <c r="E15" s="8">
        <f>TDIST(ABS(D15),$F$10 - 2,2)</f>
        <v>1.0708979455146193E-16</v>
      </c>
      <c r="F15" s="8">
        <f>B15 - TINV(1 - $I$10, $F$10 - 2) * C15</f>
        <v>-108.23356072908625</v>
      </c>
      <c r="G15" s="8">
        <f>B15 + TINV(1 - $I$10, $F$10 - 2) * C15</f>
        <v>-77.780984404670519</v>
      </c>
      <c r="H15" s="8">
        <v>2.411076125812861</v>
      </c>
      <c r="I15" s="3">
        <f>B15*H15/$E$10</f>
        <v>-0.86640478932271159</v>
      </c>
    </row>
    <row r="17" spans="1:7" x14ac:dyDescent="0.2">
      <c r="A17" s="5" t="s">
        <v>32</v>
      </c>
    </row>
    <row r="18" spans="1:7" ht="12" hidden="1" outlineLevel="1" thickBot="1" x14ac:dyDescent="0.25">
      <c r="A18" s="11" t="s">
        <v>33</v>
      </c>
      <c r="B18" s="7" t="s">
        <v>37</v>
      </c>
      <c r="C18" s="7" t="s">
        <v>38</v>
      </c>
      <c r="D18" s="7" t="s">
        <v>39</v>
      </c>
      <c r="E18" s="7" t="s">
        <v>40</v>
      </c>
      <c r="F18" s="7" t="s">
        <v>29</v>
      </c>
    </row>
    <row r="19" spans="1:7" hidden="1" outlineLevel="1" x14ac:dyDescent="0.2">
      <c r="A19" s="3" t="s">
        <v>34</v>
      </c>
      <c r="B19" s="9">
        <v>1</v>
      </c>
      <c r="C19" s="12">
        <f>C21 - C20</f>
        <v>2564636.6210653875</v>
      </c>
      <c r="D19" s="12">
        <f>C19/B19</f>
        <v>2564636.6210653875</v>
      </c>
      <c r="E19" s="8">
        <f>D19/D20</f>
        <v>150.52719317884885</v>
      </c>
      <c r="F19" s="8">
        <f>FDIST(E19,1,50)</f>
        <v>1.0708979455139301E-16</v>
      </c>
    </row>
    <row r="20" spans="1:7" hidden="1" outlineLevel="1" x14ac:dyDescent="0.2">
      <c r="A20" s="3" t="s">
        <v>35</v>
      </c>
      <c r="B20" s="9">
        <v>50</v>
      </c>
      <c r="C20" s="12">
        <v>851884.82124230382</v>
      </c>
      <c r="D20" s="12">
        <f>C20/B20</f>
        <v>17037.696424846075</v>
      </c>
    </row>
    <row r="21" spans="1:7" hidden="1" outlineLevel="1" x14ac:dyDescent="0.2">
      <c r="A21" s="3" t="s">
        <v>36</v>
      </c>
      <c r="B21" s="9">
        <f>B19 + B20</f>
        <v>51</v>
      </c>
      <c r="C21" s="12">
        <v>3416521.4423076916</v>
      </c>
    </row>
    <row r="22" spans="1:7" collapsed="1" x14ac:dyDescent="0.2"/>
    <row r="23" spans="1:7" x14ac:dyDescent="0.2">
      <c r="A23" s="5" t="s">
        <v>41</v>
      </c>
    </row>
    <row r="24" spans="1:7" outlineLevel="1" x14ac:dyDescent="0.2"/>
    <row r="25" spans="1:7" outlineLevel="1" x14ac:dyDescent="0.2">
      <c r="B25" s="13" t="s">
        <v>13</v>
      </c>
      <c r="C25" s="13" t="s">
        <v>42</v>
      </c>
      <c r="D25" s="13" t="s">
        <v>43</v>
      </c>
      <c r="E25" s="13" t="s">
        <v>44</v>
      </c>
      <c r="F25" s="13" t="str">
        <f>IF($I$10&gt;99%,("Lower "&amp;TEXT($I$10,"0.0%")),("Lower "&amp;TEXT($I$10,"0%")))</f>
        <v>Lower 95%</v>
      </c>
      <c r="G25" s="13" t="str">
        <f>IF($I$10&gt;99%,("Upper "&amp;TEXT($I$10,"0.0%")),("Upper "&amp;TEXT($I$10,"0%")))</f>
        <v>Upper 95%</v>
      </c>
    </row>
    <row r="26" spans="1:7" outlineLevel="1" x14ac:dyDescent="0.2">
      <c r="B26" s="13">
        <v>13.26</v>
      </c>
      <c r="C26" s="13">
        <f>$D$10/SQRT($F$10)*SQRT(1+(B26- 16.7246153846154)^2/5.70149408284044)</f>
        <v>31.89760333637021</v>
      </c>
      <c r="D26" s="13">
        <f>SQRT($D$10^2 + C26^2)</f>
        <v>134.36946648495146</v>
      </c>
      <c r="E26" s="13">
        <f>1812.18393857621 + -93.0072725668784 * B26</f>
        <v>578.90750433940252</v>
      </c>
      <c r="F26" s="13">
        <f>E26 - $H$10*D26</f>
        <v>309.01848804293542</v>
      </c>
      <c r="G26" s="13">
        <f>E26 + $H$10*D26</f>
        <v>848.79652063586968</v>
      </c>
    </row>
    <row r="27" spans="1:7" outlineLevel="1" x14ac:dyDescent="0.2">
      <c r="B27" s="13">
        <v>14.82</v>
      </c>
      <c r="C27" s="13">
        <f>$D$10/SQRT($F$10)*SQRT(1+(B27- 16.7246153846154)^2/5.70149408284044)</f>
        <v>23.154117186674011</v>
      </c>
      <c r="D27" s="13">
        <f>SQRT($D$10^2 + C27^2)</f>
        <v>132.56624595854069</v>
      </c>
      <c r="E27" s="13">
        <f>1812.18393857621 + -93.0072725668784 * B27</f>
        <v>433.81615913507221</v>
      </c>
      <c r="F27" s="13">
        <f>E27 - $H$10*D27</f>
        <v>167.54901785805464</v>
      </c>
      <c r="G27" s="13">
        <f>E27 + $H$10*D27</f>
        <v>700.08330041208978</v>
      </c>
    </row>
    <row r="28" spans="1:7" outlineLevel="1" x14ac:dyDescent="0.2">
      <c r="B28" s="13">
        <v>16.38</v>
      </c>
      <c r="C28" s="13">
        <f>$D$10/SQRT($F$10)*SQRT(1+(B28- 16.7246153846154)^2/5.70149408284044)</f>
        <v>18.288597011476561</v>
      </c>
      <c r="D28" s="13">
        <f>SQRT($D$10^2 + C28^2)</f>
        <v>131.80352501164097</v>
      </c>
      <c r="E28" s="13">
        <f>1812.18393857621 + -93.0072725668784 * B28</f>
        <v>288.7248139307419</v>
      </c>
      <c r="F28" s="13">
        <f>E28 - $H$10*D28</f>
        <v>23.989642761609844</v>
      </c>
      <c r="G28" s="13">
        <f>E28 + $H$10*D28</f>
        <v>553.45998509987396</v>
      </c>
    </row>
    <row r="29" spans="1:7" outlineLevel="1" x14ac:dyDescent="0.2">
      <c r="B29" s="13">
        <v>17.940000000000001</v>
      </c>
      <c r="C29" s="13">
        <f>$D$10/SQRT($F$10)*SQRT(1+(B29- 16.7246153846154)^2/5.70149408284044)</f>
        <v>20.310982557874556</v>
      </c>
      <c r="D29" s="13">
        <f>SQRT($D$10^2 + C29^2)</f>
        <v>132.09932792150141</v>
      </c>
      <c r="E29" s="13">
        <f>1812.18393857621 + -93.0072725668784 * B29</f>
        <v>143.63346872641137</v>
      </c>
      <c r="F29" s="13">
        <f>E29 - $H$10*D29</f>
        <v>-121.6958400727068</v>
      </c>
      <c r="G29" s="13">
        <f>E29 + $H$10*D29</f>
        <v>408.96277752552953</v>
      </c>
    </row>
    <row r="30" spans="1:7" outlineLevel="1" x14ac:dyDescent="0.2">
      <c r="B30" s="13">
        <v>19.5</v>
      </c>
      <c r="C30" s="13">
        <f>$D$10/SQRT($F$10)*SQRT(1+(B30- 16.7246153846154)^2/5.70149408284044)</f>
        <v>27.754330079260029</v>
      </c>
      <c r="D30" s="13">
        <f>SQRT($D$10^2 + C30^2)</f>
        <v>133.44661577947412</v>
      </c>
      <c r="E30" s="13">
        <f>1812.18393857621 + -93.0072725668784 * B30</f>
        <v>-1.4578764779187168</v>
      </c>
      <c r="F30" s="13">
        <f>E30 - $H$10*D30</f>
        <v>-269.49329258079064</v>
      </c>
      <c r="G30" s="13">
        <f>E30 + $H$10*D30</f>
        <v>266.5775396249532</v>
      </c>
    </row>
    <row r="31" spans="1:7" outlineLevel="1" x14ac:dyDescent="0.2"/>
    <row r="32" spans="1:7" outlineLevel="1" x14ac:dyDescent="0.2"/>
    <row r="33" spans="1:6" outlineLevel="1" x14ac:dyDescent="0.2"/>
    <row r="34" spans="1:6" outlineLevel="1" x14ac:dyDescent="0.2"/>
    <row r="35" spans="1:6" outlineLevel="1" x14ac:dyDescent="0.2"/>
    <row r="36" spans="1:6" outlineLevel="1" x14ac:dyDescent="0.2"/>
    <row r="37" spans="1:6" outlineLevel="1" x14ac:dyDescent="0.2"/>
    <row r="38" spans="1:6" outlineLevel="1" x14ac:dyDescent="0.2"/>
    <row r="39" spans="1:6" outlineLevel="1" x14ac:dyDescent="0.2"/>
    <row r="40" spans="1:6" outlineLevel="1" x14ac:dyDescent="0.2"/>
    <row r="41" spans="1:6" outlineLevel="1" x14ac:dyDescent="0.2"/>
    <row r="42" spans="1:6" outlineLevel="1" x14ac:dyDescent="0.2"/>
    <row r="43" spans="1:6" outlineLevel="1" x14ac:dyDescent="0.2"/>
    <row r="45" spans="1:6" x14ac:dyDescent="0.2">
      <c r="A45" s="5" t="s">
        <v>45</v>
      </c>
    </row>
    <row r="46" spans="1:6" ht="12" outlineLevel="1" thickBot="1" x14ac:dyDescent="0.25">
      <c r="A46" s="7" t="s">
        <v>46</v>
      </c>
      <c r="B46" s="7" t="s">
        <v>47</v>
      </c>
      <c r="C46" s="7" t="s">
        <v>48</v>
      </c>
      <c r="D46" s="7" t="s">
        <v>29</v>
      </c>
      <c r="E46" s="7" t="s">
        <v>50</v>
      </c>
      <c r="F46" s="7" t="s">
        <v>51</v>
      </c>
    </row>
    <row r="47" spans="1:6" outlineLevel="1" x14ac:dyDescent="0.2">
      <c r="A47" s="9">
        <v>21</v>
      </c>
      <c r="B47" s="9">
        <v>31</v>
      </c>
      <c r="C47" s="3">
        <v>2.5908802202893257</v>
      </c>
      <c r="D47" s="3">
        <v>1.5569532429895868E-6</v>
      </c>
      <c r="E47" s="8">
        <v>-2.4597006589754993</v>
      </c>
      <c r="F47" s="8">
        <v>2.5472145849463708</v>
      </c>
    </row>
    <row r="48" spans="1:6" outlineLevel="1" x14ac:dyDescent="0.2">
      <c r="A48" s="3" t="s">
        <v>49</v>
      </c>
    </row>
    <row r="50" spans="1:85" x14ac:dyDescent="0.2">
      <c r="A50" s="5" t="s">
        <v>52</v>
      </c>
      <c r="N50" s="22" t="s">
        <v>102</v>
      </c>
    </row>
    <row r="51" spans="1:85" ht="12" outlineLevel="1" thickBot="1" x14ac:dyDescent="0.25">
      <c r="A51" s="7" t="s">
        <v>53</v>
      </c>
      <c r="B51" s="7" t="s">
        <v>54</v>
      </c>
      <c r="C51" s="7" t="s">
        <v>55</v>
      </c>
      <c r="D51" s="7" t="str">
        <f>IF($I$10&gt;99%,("Low"&amp;TEXT($I$10,"0.0%")&amp;"F"),("Lower"&amp;TEXT($I$10,"0%")&amp;"F"))</f>
        <v>Lower95%F</v>
      </c>
      <c r="E51" s="7" t="str">
        <f>IF($I$10&gt;99%,("Up"&amp;TEXT($I$10,"0.0%")&amp;"F"),("Upper"&amp;TEXT($I$10,"0%")&amp;"F"))</f>
        <v>Upper95%F</v>
      </c>
      <c r="F51" s="7" t="s">
        <v>56</v>
      </c>
      <c r="G51" s="7" t="str">
        <f>IF($I$10&gt;99%,("Low"&amp;TEXT($I$10,"0.0%")&amp;"M"),("Lower"&amp;TEXT($I$10,"0%")&amp;"M"))</f>
        <v>Lower95%M</v>
      </c>
      <c r="H51" s="7" t="str">
        <f>IF($I$10&gt;99%,("Up"&amp;TEXT($I$10,"0.0%")&amp;"M"),("Upper"&amp;TEXT($I$10,"0%")&amp;"M"))</f>
        <v>Upper95%M</v>
      </c>
      <c r="I51" s="11" t="s">
        <v>57</v>
      </c>
      <c r="N51" s="34" t="s">
        <v>13</v>
      </c>
      <c r="O51" s="34" t="s">
        <v>54</v>
      </c>
      <c r="P51" s="34" t="str">
        <f>IF($I$10&gt;99%,("Low"&amp;TEXT($I$10,"0.0%")&amp;"F"),("Lower"&amp;TEXT($I$10,"0%")&amp;"F"))</f>
        <v>Lower95%F</v>
      </c>
      <c r="Q51" s="34" t="str">
        <f>IF($I$10&gt;99%,("Up"&amp;TEXT($I$10,"0.0%")&amp;"F"),("Upper"&amp;TEXT($I$10,"0%")&amp;"F"))</f>
        <v>Upper95%F</v>
      </c>
      <c r="R51" s="34" t="s">
        <v>64</v>
      </c>
    </row>
    <row r="52" spans="1:85" outlineLevel="1" x14ac:dyDescent="0.2">
      <c r="A52" s="9">
        <v>53</v>
      </c>
      <c r="B52" s="3">
        <v>603.08939520678678</v>
      </c>
      <c r="C52" s="8">
        <f t="shared" ref="C52:C66" si="0">SQRT($D$10^2 + F52^2)</f>
        <v>134.76858284133289</v>
      </c>
      <c r="D52" s="8">
        <f t="shared" ref="D52:D66" si="1" xml:space="preserve"> B52 - $H$10 * C52</f>
        <v>332.39873011592135</v>
      </c>
      <c r="E52" s="8">
        <f t="shared" ref="E52:E66" si="2" xml:space="preserve"> B52 + $H$10 * C52</f>
        <v>873.7800602976522</v>
      </c>
      <c r="F52" s="8">
        <f t="shared" ref="F52:F66" si="3">$D$10/SQRT($F$10)*SQRT(1+(I52- 16.7246153846154)^2/5.7014940828404)</f>
        <v>33.539148710352379</v>
      </c>
      <c r="G52" s="8">
        <f t="shared" ref="G52:G66" si="4" xml:space="preserve"> B52 - $H$10 * F52</f>
        <v>535.72403245250598</v>
      </c>
      <c r="H52" s="8">
        <f t="shared" ref="H52:H66" si="5" xml:space="preserve"> B52 + $H$10 * F52</f>
        <v>670.45475796106757</v>
      </c>
      <c r="I52" s="49">
        <v>13</v>
      </c>
      <c r="J52" s="14"/>
      <c r="N52" s="43">
        <f>I52</f>
        <v>13</v>
      </c>
      <c r="O52" s="27">
        <f>B52</f>
        <v>603.08939520678678</v>
      </c>
      <c r="P52" s="27">
        <f>D52</f>
        <v>332.39873011592135</v>
      </c>
      <c r="Q52" s="27">
        <f>E52</f>
        <v>873.7800602976522</v>
      </c>
      <c r="R52" s="28"/>
      <c r="CG52" s="3">
        <f xml:space="preserve"> $C$52 * $H$10</f>
        <v>270.69066509086542</v>
      </c>
    </row>
    <row r="53" spans="1:85" outlineLevel="1" x14ac:dyDescent="0.2">
      <c r="A53" s="9">
        <v>54</v>
      </c>
      <c r="B53" s="3">
        <v>556.58575892334761</v>
      </c>
      <c r="C53" s="8">
        <f t="shared" si="0"/>
        <v>134.02572532089758</v>
      </c>
      <c r="D53" s="8">
        <f t="shared" si="1"/>
        <v>287.38716707414505</v>
      </c>
      <c r="E53" s="8">
        <f t="shared" si="2"/>
        <v>825.78435077255017</v>
      </c>
      <c r="F53" s="8">
        <f t="shared" si="3"/>
        <v>30.417077817348062</v>
      </c>
      <c r="G53" s="8">
        <f t="shared" si="4"/>
        <v>495.49126010983525</v>
      </c>
      <c r="H53" s="8">
        <f t="shared" si="5"/>
        <v>617.68025773685997</v>
      </c>
      <c r="I53" s="49">
        <v>13.5</v>
      </c>
      <c r="J53" s="14"/>
      <c r="N53" s="44">
        <f t="shared" ref="N53:N66" si="6">I53</f>
        <v>13.5</v>
      </c>
      <c r="O53" s="29">
        <f t="shared" ref="O53:O66" si="7">B53</f>
        <v>556.58575892334761</v>
      </c>
      <c r="P53" s="29">
        <f t="shared" ref="P53:P66" si="8">D53</f>
        <v>287.38716707414505</v>
      </c>
      <c r="Q53" s="29">
        <f t="shared" ref="Q53:Q66" si="9">E53</f>
        <v>825.78435077255017</v>
      </c>
      <c r="R53" s="30"/>
      <c r="CG53" s="3">
        <f xml:space="preserve"> $C$53 * $H$10</f>
        <v>269.19859184920256</v>
      </c>
    </row>
    <row r="54" spans="1:85" outlineLevel="1" x14ac:dyDescent="0.2">
      <c r="A54" s="9">
        <v>55</v>
      </c>
      <c r="B54" s="3">
        <v>510.08212263990822</v>
      </c>
      <c r="C54" s="8">
        <f t="shared" si="0"/>
        <v>133.38647868598807</v>
      </c>
      <c r="D54" s="8">
        <f t="shared" si="1"/>
        <v>242.16749544413295</v>
      </c>
      <c r="E54" s="8">
        <f t="shared" si="2"/>
        <v>777.99674983568343</v>
      </c>
      <c r="F54" s="8">
        <f t="shared" si="3"/>
        <v>27.463726466040082</v>
      </c>
      <c r="G54" s="8">
        <f t="shared" si="4"/>
        <v>454.91960459430061</v>
      </c>
      <c r="H54" s="8">
        <f t="shared" si="5"/>
        <v>565.24464068551583</v>
      </c>
      <c r="I54" s="49">
        <v>14</v>
      </c>
      <c r="J54" s="14"/>
      <c r="N54" s="44">
        <f t="shared" si="6"/>
        <v>14</v>
      </c>
      <c r="O54" s="29">
        <f t="shared" si="7"/>
        <v>510.08212263990822</v>
      </c>
      <c r="P54" s="29">
        <f t="shared" si="8"/>
        <v>242.16749544413295</v>
      </c>
      <c r="Q54" s="29">
        <f t="shared" si="9"/>
        <v>777.99674983568343</v>
      </c>
      <c r="R54" s="30"/>
      <c r="CG54" s="3">
        <f xml:space="preserve"> $C$54 * $H$10</f>
        <v>267.91462719577527</v>
      </c>
    </row>
    <row r="55" spans="1:85" outlineLevel="1" x14ac:dyDescent="0.2">
      <c r="A55" s="9">
        <v>56</v>
      </c>
      <c r="B55" s="3">
        <v>463.57848635646906</v>
      </c>
      <c r="C55" s="8">
        <f t="shared" si="0"/>
        <v>132.85233858094406</v>
      </c>
      <c r="D55" s="8">
        <f t="shared" si="1"/>
        <v>196.73671113581838</v>
      </c>
      <c r="E55" s="8">
        <f t="shared" si="2"/>
        <v>730.42026157711973</v>
      </c>
      <c r="F55" s="8">
        <f t="shared" si="3"/>
        <v>24.739592591223502</v>
      </c>
      <c r="G55" s="8">
        <f t="shared" si="4"/>
        <v>413.88755222770664</v>
      </c>
      <c r="H55" s="8">
        <f t="shared" si="5"/>
        <v>513.26942048523154</v>
      </c>
      <c r="I55" s="49">
        <v>14.5</v>
      </c>
      <c r="J55" s="14"/>
      <c r="N55" s="44">
        <f t="shared" si="6"/>
        <v>14.5</v>
      </c>
      <c r="O55" s="29">
        <f t="shared" si="7"/>
        <v>463.57848635646906</v>
      </c>
      <c r="P55" s="29">
        <f t="shared" si="8"/>
        <v>196.73671113581838</v>
      </c>
      <c r="Q55" s="29">
        <f t="shared" si="9"/>
        <v>730.42026157711973</v>
      </c>
      <c r="R55" s="30"/>
      <c r="CG55" s="3">
        <f xml:space="preserve"> $C$55 * $H$10</f>
        <v>266.84177522065067</v>
      </c>
    </row>
    <row r="56" spans="1:85" outlineLevel="1" x14ac:dyDescent="0.2">
      <c r="A56" s="9">
        <v>57</v>
      </c>
      <c r="B56" s="3">
        <v>417.07485007302989</v>
      </c>
      <c r="C56" s="8">
        <f t="shared" si="0"/>
        <v>132.42457686671094</v>
      </c>
      <c r="D56" s="8">
        <f t="shared" si="1"/>
        <v>151.09225954131</v>
      </c>
      <c r="E56" s="8">
        <f t="shared" si="2"/>
        <v>683.05744060474979</v>
      </c>
      <c r="F56" s="8">
        <f t="shared" si="3"/>
        <v>22.328728881899174</v>
      </c>
      <c r="G56" s="8">
        <f t="shared" si="4"/>
        <v>372.22627821566385</v>
      </c>
      <c r="H56" s="8">
        <f t="shared" si="5"/>
        <v>461.92342193039593</v>
      </c>
      <c r="I56" s="49">
        <v>15</v>
      </c>
      <c r="J56" s="14"/>
      <c r="N56" s="44">
        <f t="shared" si="6"/>
        <v>15</v>
      </c>
      <c r="O56" s="29">
        <f t="shared" si="7"/>
        <v>417.07485007302989</v>
      </c>
      <c r="P56" s="29">
        <f t="shared" si="8"/>
        <v>151.09225954131</v>
      </c>
      <c r="Q56" s="29">
        <f t="shared" si="9"/>
        <v>683.05744060474979</v>
      </c>
      <c r="R56" s="30"/>
      <c r="CG56" s="3">
        <f xml:space="preserve"> $C$56 * $H$10</f>
        <v>265.98259053171989</v>
      </c>
    </row>
    <row r="57" spans="1:85" outlineLevel="1" x14ac:dyDescent="0.2">
      <c r="A57" s="9">
        <v>58</v>
      </c>
      <c r="B57" s="3">
        <v>370.57121378959073</v>
      </c>
      <c r="C57" s="8">
        <f t="shared" si="0"/>
        <v>132.1042269268946</v>
      </c>
      <c r="D57" s="8">
        <f t="shared" si="1"/>
        <v>105.23206504854988</v>
      </c>
      <c r="E57" s="8">
        <f t="shared" si="2"/>
        <v>635.91036253063157</v>
      </c>
      <c r="F57" s="8">
        <f t="shared" si="3"/>
        <v>20.342820529768801</v>
      </c>
      <c r="G57" s="8">
        <f t="shared" si="4"/>
        <v>329.7114562486932</v>
      </c>
      <c r="H57" s="8">
        <f t="shared" si="5"/>
        <v>411.43097133048826</v>
      </c>
      <c r="I57" s="49">
        <v>15.5</v>
      </c>
      <c r="N57" s="44">
        <f t="shared" si="6"/>
        <v>15.5</v>
      </c>
      <c r="O57" s="29">
        <f t="shared" si="7"/>
        <v>370.57121378959073</v>
      </c>
      <c r="P57" s="29">
        <f t="shared" si="8"/>
        <v>105.23206504854988</v>
      </c>
      <c r="Q57" s="29">
        <f t="shared" si="9"/>
        <v>635.91036253063157</v>
      </c>
      <c r="R57" s="30"/>
      <c r="CG57" s="3">
        <f xml:space="preserve"> $C$57 * $H$10</f>
        <v>265.33914874104084</v>
      </c>
    </row>
    <row r="58" spans="1:85" outlineLevel="1" x14ac:dyDescent="0.2">
      <c r="A58" s="9">
        <v>59</v>
      </c>
      <c r="B58" s="3">
        <v>324.06757750615157</v>
      </c>
      <c r="C58" s="8">
        <f t="shared" si="0"/>
        <v>131.89207143456679</v>
      </c>
      <c r="D58" s="8">
        <f t="shared" si="1"/>
        <v>59.154555612407933</v>
      </c>
      <c r="E58" s="8">
        <f t="shared" si="2"/>
        <v>588.98059939989525</v>
      </c>
      <c r="F58" s="8">
        <f t="shared" si="3"/>
        <v>18.916185726905805</v>
      </c>
      <c r="G58" s="8">
        <f t="shared" si="4"/>
        <v>286.07330029818456</v>
      </c>
      <c r="H58" s="8">
        <f t="shared" si="5"/>
        <v>362.06185471411857</v>
      </c>
      <c r="I58" s="49">
        <v>16</v>
      </c>
      <c r="N58" s="44">
        <f t="shared" si="6"/>
        <v>16</v>
      </c>
      <c r="O58" s="29">
        <f t="shared" si="7"/>
        <v>324.06757750615157</v>
      </c>
      <c r="P58" s="29">
        <f t="shared" si="8"/>
        <v>59.154555612407933</v>
      </c>
      <c r="Q58" s="29">
        <f t="shared" si="9"/>
        <v>588.98059939989525</v>
      </c>
      <c r="R58" s="30"/>
      <c r="CG58" s="3">
        <f xml:space="preserve"> $C$58 * $H$10</f>
        <v>264.91302189374363</v>
      </c>
    </row>
    <row r="59" spans="1:85" outlineLevel="1" x14ac:dyDescent="0.2">
      <c r="A59" s="9">
        <v>60</v>
      </c>
      <c r="B59" s="3">
        <v>277.5639412227124</v>
      </c>
      <c r="C59" s="8">
        <f t="shared" si="0"/>
        <v>131.78863291032604</v>
      </c>
      <c r="D59" s="8">
        <f t="shared" si="1"/>
        <v>12.858681719374772</v>
      </c>
      <c r="E59" s="8">
        <f t="shared" si="2"/>
        <v>542.26920072605003</v>
      </c>
      <c r="F59" s="8">
        <f t="shared" si="3"/>
        <v>18.180960907680156</v>
      </c>
      <c r="G59" s="8">
        <f t="shared" si="4"/>
        <v>241.04640652484369</v>
      </c>
      <c r="H59" s="8">
        <f t="shared" si="5"/>
        <v>314.08147592058111</v>
      </c>
      <c r="I59" s="49">
        <v>16.5</v>
      </c>
      <c r="N59" s="44">
        <f t="shared" si="6"/>
        <v>16.5</v>
      </c>
      <c r="O59" s="29">
        <f t="shared" si="7"/>
        <v>277.5639412227124</v>
      </c>
      <c r="P59" s="29">
        <f t="shared" si="8"/>
        <v>12.858681719374772</v>
      </c>
      <c r="Q59" s="29">
        <f t="shared" si="9"/>
        <v>542.26920072605003</v>
      </c>
      <c r="R59" s="30"/>
      <c r="CG59" s="3">
        <f xml:space="preserve"> $C$59 * $H$10</f>
        <v>264.70525950333763</v>
      </c>
    </row>
    <row r="60" spans="1:85" outlineLevel="1" x14ac:dyDescent="0.2">
      <c r="A60" s="9">
        <v>61</v>
      </c>
      <c r="B60" s="3">
        <v>231.06030493927324</v>
      </c>
      <c r="C60" s="8">
        <f t="shared" si="0"/>
        <v>131.79416733364135</v>
      </c>
      <c r="D60" s="8">
        <f t="shared" si="1"/>
        <v>-33.656070780444566</v>
      </c>
      <c r="E60" s="8">
        <f t="shared" si="2"/>
        <v>495.77668065899104</v>
      </c>
      <c r="F60" s="8">
        <f t="shared" si="3"/>
        <v>18.221035050780745</v>
      </c>
      <c r="G60" s="8">
        <f t="shared" si="4"/>
        <v>194.4622789561202</v>
      </c>
      <c r="H60" s="8">
        <f t="shared" si="5"/>
        <v>267.65833092242627</v>
      </c>
      <c r="I60" s="49">
        <v>17</v>
      </c>
      <c r="N60" s="44">
        <f t="shared" si="6"/>
        <v>17</v>
      </c>
      <c r="O60" s="29">
        <f t="shared" si="7"/>
        <v>231.06030493927324</v>
      </c>
      <c r="P60" s="29">
        <f t="shared" si="8"/>
        <v>-33.656070780444566</v>
      </c>
      <c r="Q60" s="29">
        <f t="shared" si="9"/>
        <v>495.77668065899104</v>
      </c>
      <c r="R60" s="30"/>
      <c r="CG60" s="3">
        <f xml:space="preserve"> $C$60 * $H$10</f>
        <v>264.7163757197178</v>
      </c>
    </row>
    <row r="61" spans="1:85" outlineLevel="1" x14ac:dyDescent="0.2">
      <c r="A61" s="9">
        <v>62</v>
      </c>
      <c r="B61" s="3">
        <v>184.55666865583407</v>
      </c>
      <c r="C61" s="8">
        <f t="shared" si="0"/>
        <v>131.90866098814902</v>
      </c>
      <c r="D61" s="8">
        <f t="shared" si="1"/>
        <v>-80.389674336922837</v>
      </c>
      <c r="E61" s="8">
        <f t="shared" si="2"/>
        <v>449.50301164859098</v>
      </c>
      <c r="F61" s="8">
        <f t="shared" si="3"/>
        <v>19.031511207477823</v>
      </c>
      <c r="G61" s="8">
        <f t="shared" si="4"/>
        <v>146.33075340300672</v>
      </c>
      <c r="H61" s="8">
        <f t="shared" si="5"/>
        <v>222.78258390866142</v>
      </c>
      <c r="I61" s="49">
        <v>17.5</v>
      </c>
      <c r="N61" s="44">
        <f t="shared" si="6"/>
        <v>17.5</v>
      </c>
      <c r="O61" s="29">
        <f t="shared" si="7"/>
        <v>184.55666865583407</v>
      </c>
      <c r="P61" s="29">
        <f t="shared" si="8"/>
        <v>-80.389674336922837</v>
      </c>
      <c r="Q61" s="29">
        <f t="shared" si="9"/>
        <v>449.50301164859098</v>
      </c>
      <c r="R61" s="30"/>
      <c r="CG61" s="3">
        <f xml:space="preserve"> $C$61 * $H$10</f>
        <v>264.94634299275691</v>
      </c>
    </row>
    <row r="62" spans="1:85" outlineLevel="1" x14ac:dyDescent="0.2">
      <c r="A62" s="9">
        <v>63</v>
      </c>
      <c r="B62" s="3">
        <v>138.05303237239491</v>
      </c>
      <c r="C62" s="8">
        <f t="shared" si="0"/>
        <v>132.1318306311102</v>
      </c>
      <c r="D62" s="8">
        <f t="shared" si="1"/>
        <v>-127.34156004027597</v>
      </c>
      <c r="E62" s="8">
        <f t="shared" si="2"/>
        <v>403.44762478506578</v>
      </c>
      <c r="F62" s="8">
        <f t="shared" si="3"/>
        <v>20.521311875275298</v>
      </c>
      <c r="G62" s="8">
        <f t="shared" si="4"/>
        <v>96.834764413049157</v>
      </c>
      <c r="H62" s="8">
        <f t="shared" si="5"/>
        <v>179.27130033174066</v>
      </c>
      <c r="I62" s="49">
        <v>18</v>
      </c>
      <c r="N62" s="44">
        <f t="shared" si="6"/>
        <v>18</v>
      </c>
      <c r="O62" s="29">
        <f t="shared" si="7"/>
        <v>138.05303237239491</v>
      </c>
      <c r="P62" s="29">
        <f t="shared" si="8"/>
        <v>-127.34156004027597</v>
      </c>
      <c r="Q62" s="29">
        <f t="shared" si="9"/>
        <v>403.44762478506578</v>
      </c>
      <c r="R62" s="30"/>
      <c r="CG62" s="3">
        <f xml:space="preserve"> $C$62 * $H$10</f>
        <v>265.39459241267087</v>
      </c>
    </row>
    <row r="63" spans="1:85" outlineLevel="1" x14ac:dyDescent="0.2">
      <c r="A63" s="9">
        <v>64</v>
      </c>
      <c r="B63" s="3">
        <v>91.549396088955518</v>
      </c>
      <c r="C63" s="8">
        <f t="shared" si="0"/>
        <v>132.46312698216715</v>
      </c>
      <c r="D63" s="8">
        <f t="shared" si="1"/>
        <v>-174.51062462843652</v>
      </c>
      <c r="E63" s="8">
        <f t="shared" si="2"/>
        <v>357.60941680634755</v>
      </c>
      <c r="F63" s="8">
        <f t="shared" si="3"/>
        <v>22.556231623382111</v>
      </c>
      <c r="G63" s="8">
        <f t="shared" si="4"/>
        <v>46.243871527156038</v>
      </c>
      <c r="H63" s="8">
        <f t="shared" si="5"/>
        <v>136.85492065075499</v>
      </c>
      <c r="I63" s="49">
        <v>18.5</v>
      </c>
      <c r="N63" s="44">
        <f t="shared" si="6"/>
        <v>18.5</v>
      </c>
      <c r="O63" s="29">
        <f t="shared" si="7"/>
        <v>91.549396088955518</v>
      </c>
      <c r="P63" s="29">
        <f t="shared" si="8"/>
        <v>-174.51062462843652</v>
      </c>
      <c r="Q63" s="29">
        <f t="shared" si="9"/>
        <v>357.60941680634755</v>
      </c>
      <c r="R63" s="30"/>
      <c r="CG63" s="3">
        <f xml:space="preserve"> $C$63 * $H$10</f>
        <v>266.06002071739204</v>
      </c>
    </row>
    <row r="64" spans="1:85" outlineLevel="1" x14ac:dyDescent="0.2">
      <c r="A64" s="9">
        <v>65</v>
      </c>
      <c r="B64" s="3">
        <v>45.045759805516354</v>
      </c>
      <c r="C64" s="8">
        <f t="shared" si="0"/>
        <v>132.90174143171515</v>
      </c>
      <c r="D64" s="8">
        <f t="shared" si="1"/>
        <v>-221.89524396121436</v>
      </c>
      <c r="E64" s="8">
        <f t="shared" si="2"/>
        <v>311.98676357224707</v>
      </c>
      <c r="F64" s="8">
        <f t="shared" si="3"/>
        <v>25.003528765684226</v>
      </c>
      <c r="G64" s="8">
        <f t="shared" si="4"/>
        <v>-5.1753057314721929</v>
      </c>
      <c r="H64" s="8">
        <f t="shared" si="5"/>
        <v>95.266825342504902</v>
      </c>
      <c r="I64" s="49">
        <v>19</v>
      </c>
      <c r="N64" s="44">
        <f t="shared" si="6"/>
        <v>19</v>
      </c>
      <c r="O64" s="29">
        <f t="shared" si="7"/>
        <v>45.045759805516354</v>
      </c>
      <c r="P64" s="29">
        <f t="shared" si="8"/>
        <v>-221.89524396121436</v>
      </c>
      <c r="Q64" s="29">
        <f t="shared" si="9"/>
        <v>311.98676357224707</v>
      </c>
      <c r="R64" s="30"/>
      <c r="CG64" s="3">
        <f xml:space="preserve"> $C$64 * $H$10</f>
        <v>266.94100376673072</v>
      </c>
    </row>
    <row r="65" spans="1:85" outlineLevel="1" x14ac:dyDescent="0.2">
      <c r="A65" s="9">
        <v>66</v>
      </c>
      <c r="B65" s="3">
        <v>-1.4578764779228095</v>
      </c>
      <c r="C65" s="8">
        <f t="shared" si="0"/>
        <v>133.44661577947414</v>
      </c>
      <c r="D65" s="8">
        <f t="shared" si="1"/>
        <v>-269.49329258079479</v>
      </c>
      <c r="E65" s="8">
        <f t="shared" si="2"/>
        <v>266.57753962494917</v>
      </c>
      <c r="F65" s="8">
        <f t="shared" si="3"/>
        <v>27.754330079260086</v>
      </c>
      <c r="G65" s="8">
        <f t="shared" si="4"/>
        <v>-57.204089058872896</v>
      </c>
      <c r="H65" s="8">
        <f t="shared" si="5"/>
        <v>54.288336103027277</v>
      </c>
      <c r="I65" s="49">
        <v>19.5</v>
      </c>
      <c r="N65" s="44">
        <f t="shared" si="6"/>
        <v>19.5</v>
      </c>
      <c r="O65" s="29">
        <f t="shared" si="7"/>
        <v>-1.4578764779228095</v>
      </c>
      <c r="P65" s="29">
        <f t="shared" si="8"/>
        <v>-269.49329258079479</v>
      </c>
      <c r="Q65" s="29">
        <f t="shared" si="9"/>
        <v>266.57753962494917</v>
      </c>
      <c r="R65" s="30"/>
      <c r="CG65" s="3">
        <f xml:space="preserve"> $C$65 * $H$10</f>
        <v>268.03541610287198</v>
      </c>
    </row>
    <row r="66" spans="1:85" outlineLevel="1" x14ac:dyDescent="0.2">
      <c r="A66" s="9">
        <v>67</v>
      </c>
      <c r="B66" s="3">
        <v>-47.961512761361973</v>
      </c>
      <c r="C66" s="8">
        <f t="shared" si="0"/>
        <v>134.09645473363605</v>
      </c>
      <c r="D66" s="8">
        <f t="shared" si="1"/>
        <v>-317.30216881701392</v>
      </c>
      <c r="E66" s="8">
        <f t="shared" si="2"/>
        <v>221.37914329428997</v>
      </c>
      <c r="F66" s="8">
        <f t="shared" si="3"/>
        <v>30.727231363792455</v>
      </c>
      <c r="G66" s="8">
        <f t="shared" si="4"/>
        <v>-109.6789733067356</v>
      </c>
      <c r="H66" s="8">
        <f t="shared" si="5"/>
        <v>13.75594778401166</v>
      </c>
      <c r="I66" s="49">
        <v>20</v>
      </c>
      <c r="N66" s="45">
        <f t="shared" si="6"/>
        <v>20</v>
      </c>
      <c r="O66" s="32">
        <f t="shared" si="7"/>
        <v>-47.961512761361973</v>
      </c>
      <c r="P66" s="32">
        <f t="shared" si="8"/>
        <v>-317.30216881701392</v>
      </c>
      <c r="Q66" s="32">
        <f t="shared" si="9"/>
        <v>221.37914329428997</v>
      </c>
      <c r="R66" s="39"/>
      <c r="CG66" s="3">
        <f xml:space="preserve"> $C$66 * $H$10</f>
        <v>269.34065605565195</v>
      </c>
    </row>
    <row r="67" spans="1:85" outlineLevel="1" x14ac:dyDescent="0.2">
      <c r="N67" s="46">
        <v>14.1</v>
      </c>
      <c r="O67" s="27"/>
      <c r="P67" s="27"/>
      <c r="Q67" s="27"/>
      <c r="R67" s="35">
        <v>439</v>
      </c>
      <c r="S67" s="3" t="s">
        <v>82</v>
      </c>
    </row>
    <row r="68" spans="1:85" outlineLevel="1" x14ac:dyDescent="0.2">
      <c r="N68" s="47">
        <v>18.649999999999999</v>
      </c>
      <c r="O68" s="29"/>
      <c r="P68" s="29"/>
      <c r="Q68" s="29"/>
      <c r="R68" s="31">
        <v>98</v>
      </c>
    </row>
    <row r="69" spans="1:85" outlineLevel="1" x14ac:dyDescent="0.2">
      <c r="N69" s="47">
        <v>18.649999999999999</v>
      </c>
      <c r="O69" s="29"/>
      <c r="P69" s="29"/>
      <c r="Q69" s="29"/>
      <c r="R69" s="31">
        <v>70</v>
      </c>
    </row>
    <row r="70" spans="1:85" outlineLevel="1" x14ac:dyDescent="0.2">
      <c r="N70" s="47">
        <v>18.649999999999999</v>
      </c>
      <c r="O70" s="29"/>
      <c r="P70" s="29"/>
      <c r="Q70" s="29"/>
      <c r="R70" s="31">
        <v>52</v>
      </c>
    </row>
    <row r="71" spans="1:85" outlineLevel="1" x14ac:dyDescent="0.2">
      <c r="N71" s="47">
        <v>18.649999999999999</v>
      </c>
      <c r="O71" s="29"/>
      <c r="P71" s="29"/>
      <c r="Q71" s="29"/>
      <c r="R71" s="31">
        <v>64</v>
      </c>
    </row>
    <row r="72" spans="1:85" outlineLevel="1" x14ac:dyDescent="0.2">
      <c r="N72" s="47">
        <v>18.649999999999999</v>
      </c>
      <c r="O72" s="29"/>
      <c r="P72" s="29"/>
      <c r="Q72" s="29"/>
      <c r="R72" s="31">
        <v>72</v>
      </c>
    </row>
    <row r="73" spans="1:85" outlineLevel="1" x14ac:dyDescent="0.2">
      <c r="N73" s="47">
        <v>18.649999999999999</v>
      </c>
      <c r="O73" s="29"/>
      <c r="P73" s="29"/>
      <c r="Q73" s="29"/>
      <c r="R73" s="31">
        <v>47</v>
      </c>
    </row>
    <row r="74" spans="1:85" outlineLevel="1" x14ac:dyDescent="0.2">
      <c r="N74" s="47">
        <v>18.73</v>
      </c>
      <c r="O74" s="29"/>
      <c r="P74" s="29"/>
      <c r="Q74" s="29"/>
      <c r="R74" s="31">
        <v>85</v>
      </c>
    </row>
    <row r="75" spans="1:85" outlineLevel="1" x14ac:dyDescent="0.2">
      <c r="N75" s="47">
        <v>18.75</v>
      </c>
      <c r="O75" s="29"/>
      <c r="P75" s="29"/>
      <c r="Q75" s="29"/>
      <c r="R75" s="31">
        <v>59</v>
      </c>
    </row>
    <row r="76" spans="1:85" outlineLevel="1" x14ac:dyDescent="0.2">
      <c r="N76" s="47">
        <v>18.75</v>
      </c>
      <c r="O76" s="29"/>
      <c r="P76" s="29"/>
      <c r="Q76" s="29"/>
      <c r="R76" s="31">
        <v>63</v>
      </c>
    </row>
    <row r="77" spans="1:85" x14ac:dyDescent="0.2">
      <c r="N77" s="47">
        <v>18.75</v>
      </c>
      <c r="O77" s="29"/>
      <c r="P77" s="29"/>
      <c r="Q77" s="29"/>
      <c r="R77" s="31">
        <v>57</v>
      </c>
    </row>
    <row r="78" spans="1:85" x14ac:dyDescent="0.2">
      <c r="A78" s="5" t="s">
        <v>58</v>
      </c>
      <c r="N78" s="47">
        <v>18.75</v>
      </c>
      <c r="O78" s="29"/>
      <c r="P78" s="29"/>
      <c r="Q78" s="29"/>
      <c r="R78" s="31">
        <v>54</v>
      </c>
    </row>
    <row r="79" spans="1:85" outlineLevel="1" x14ac:dyDescent="0.2">
      <c r="N79" s="47">
        <v>13.87</v>
      </c>
      <c r="O79" s="29"/>
      <c r="P79" s="29"/>
      <c r="Q79" s="29"/>
      <c r="R79" s="31">
        <v>404</v>
      </c>
    </row>
    <row r="80" spans="1:85" outlineLevel="1" x14ac:dyDescent="0.2">
      <c r="N80" s="47">
        <v>14.27</v>
      </c>
      <c r="O80" s="29"/>
      <c r="P80" s="29"/>
      <c r="Q80" s="29"/>
      <c r="R80" s="31">
        <v>380</v>
      </c>
    </row>
    <row r="81" spans="3:18" outlineLevel="1" x14ac:dyDescent="0.2">
      <c r="C81" s="16" t="b">
        <v>0</v>
      </c>
      <c r="N81" s="47">
        <v>18.760000000000002</v>
      </c>
      <c r="O81" s="29"/>
      <c r="P81" s="29"/>
      <c r="Q81" s="29"/>
      <c r="R81" s="31">
        <v>65</v>
      </c>
    </row>
    <row r="82" spans="3:18" outlineLevel="1" x14ac:dyDescent="0.2">
      <c r="N82" s="47">
        <v>18.77</v>
      </c>
      <c r="O82" s="29"/>
      <c r="P82" s="29"/>
      <c r="Q82" s="29"/>
      <c r="R82" s="31">
        <v>40</v>
      </c>
    </row>
    <row r="83" spans="3:18" outlineLevel="1" x14ac:dyDescent="0.2">
      <c r="N83" s="47">
        <v>13.87</v>
      </c>
      <c r="O83" s="29"/>
      <c r="P83" s="29"/>
      <c r="Q83" s="29"/>
      <c r="R83" s="31">
        <v>456</v>
      </c>
    </row>
    <row r="84" spans="3:18" outlineLevel="1" x14ac:dyDescent="0.2">
      <c r="N84" s="47">
        <v>14.14</v>
      </c>
      <c r="O84" s="29"/>
      <c r="P84" s="29"/>
      <c r="Q84" s="29"/>
      <c r="R84" s="31">
        <v>176</v>
      </c>
    </row>
    <row r="85" spans="3:18" outlineLevel="1" x14ac:dyDescent="0.2">
      <c r="N85" s="47">
        <v>18.760000000000002</v>
      </c>
      <c r="O85" s="29"/>
      <c r="P85" s="29"/>
      <c r="Q85" s="29"/>
      <c r="R85" s="31">
        <v>61</v>
      </c>
    </row>
    <row r="86" spans="3:18" outlineLevel="1" x14ac:dyDescent="0.2">
      <c r="N86" s="47">
        <v>18.72</v>
      </c>
      <c r="O86" s="29"/>
      <c r="P86" s="29"/>
      <c r="Q86" s="29"/>
      <c r="R86" s="31">
        <v>91</v>
      </c>
    </row>
    <row r="87" spans="3:18" outlineLevel="1" x14ac:dyDescent="0.2">
      <c r="N87" s="47">
        <v>18.760000000000002</v>
      </c>
      <c r="O87" s="29"/>
      <c r="P87" s="29"/>
      <c r="Q87" s="29"/>
      <c r="R87" s="31">
        <v>59</v>
      </c>
    </row>
    <row r="88" spans="3:18" outlineLevel="1" x14ac:dyDescent="0.2">
      <c r="N88" s="47">
        <v>18.760000000000002</v>
      </c>
      <c r="O88" s="29"/>
      <c r="P88" s="29"/>
      <c r="Q88" s="29"/>
      <c r="R88" s="31">
        <v>83</v>
      </c>
    </row>
    <row r="89" spans="3:18" outlineLevel="1" x14ac:dyDescent="0.2">
      <c r="N89" s="47">
        <v>18.739999999999998</v>
      </c>
      <c r="O89" s="29"/>
      <c r="P89" s="29"/>
      <c r="Q89" s="29"/>
      <c r="R89" s="31">
        <v>41</v>
      </c>
    </row>
    <row r="90" spans="3:18" outlineLevel="1" x14ac:dyDescent="0.2">
      <c r="N90" s="47">
        <v>18.75</v>
      </c>
      <c r="O90" s="29"/>
      <c r="P90" s="29"/>
      <c r="Q90" s="29"/>
      <c r="R90" s="31">
        <v>47</v>
      </c>
    </row>
    <row r="91" spans="3:18" outlineLevel="1" x14ac:dyDescent="0.2">
      <c r="N91" s="47">
        <v>18.75</v>
      </c>
      <c r="O91" s="29"/>
      <c r="P91" s="29"/>
      <c r="Q91" s="29"/>
      <c r="R91" s="31">
        <v>84</v>
      </c>
    </row>
    <row r="92" spans="3:18" outlineLevel="1" x14ac:dyDescent="0.2">
      <c r="N92" s="47">
        <v>18.75</v>
      </c>
      <c r="O92" s="29"/>
      <c r="P92" s="29"/>
      <c r="Q92" s="29"/>
      <c r="R92" s="31">
        <v>85</v>
      </c>
    </row>
    <row r="93" spans="3:18" outlineLevel="1" x14ac:dyDescent="0.2">
      <c r="N93" s="47">
        <v>18.75</v>
      </c>
      <c r="O93" s="29"/>
      <c r="P93" s="29"/>
      <c r="Q93" s="29"/>
      <c r="R93" s="31">
        <v>116</v>
      </c>
    </row>
    <row r="94" spans="3:18" outlineLevel="1" x14ac:dyDescent="0.2">
      <c r="N94" s="47">
        <v>13.79</v>
      </c>
      <c r="O94" s="29"/>
      <c r="P94" s="29"/>
      <c r="Q94" s="29"/>
      <c r="R94" s="31">
        <v>544</v>
      </c>
    </row>
    <row r="95" spans="3:18" outlineLevel="1" x14ac:dyDescent="0.2">
      <c r="N95" s="47">
        <v>13.49</v>
      </c>
      <c r="O95" s="29"/>
      <c r="P95" s="29"/>
      <c r="Q95" s="29"/>
      <c r="R95" s="31">
        <v>890</v>
      </c>
    </row>
    <row r="96" spans="3:18" outlineLevel="1" x14ac:dyDescent="0.2">
      <c r="N96" s="47">
        <v>14.89</v>
      </c>
      <c r="O96" s="29"/>
      <c r="P96" s="29"/>
      <c r="Q96" s="29"/>
      <c r="R96" s="31">
        <v>371</v>
      </c>
    </row>
    <row r="97" spans="1:18" outlineLevel="1" x14ac:dyDescent="0.2">
      <c r="N97" s="47">
        <v>13.94</v>
      </c>
      <c r="O97" s="29"/>
      <c r="P97" s="29"/>
      <c r="Q97" s="29"/>
      <c r="R97" s="31">
        <v>557</v>
      </c>
    </row>
    <row r="98" spans="1:18" outlineLevel="1" x14ac:dyDescent="0.2">
      <c r="N98" s="47">
        <v>13.67</v>
      </c>
      <c r="O98" s="29"/>
      <c r="P98" s="29"/>
      <c r="Q98" s="29"/>
      <c r="R98" s="31">
        <v>775</v>
      </c>
    </row>
    <row r="99" spans="1:18" x14ac:dyDescent="0.2">
      <c r="N99" s="47">
        <v>14.43</v>
      </c>
      <c r="O99" s="29"/>
      <c r="P99" s="29"/>
      <c r="Q99" s="29"/>
      <c r="R99" s="31">
        <v>236</v>
      </c>
    </row>
    <row r="100" spans="1:18" x14ac:dyDescent="0.2">
      <c r="A100" s="5" t="s">
        <v>59</v>
      </c>
      <c r="N100" s="47">
        <v>18.75</v>
      </c>
      <c r="O100" s="29"/>
      <c r="P100" s="29"/>
      <c r="Q100" s="29"/>
      <c r="R100" s="31">
        <v>43</v>
      </c>
    </row>
    <row r="101" spans="1:18" outlineLevel="1" x14ac:dyDescent="0.2">
      <c r="N101" s="47">
        <v>18.22</v>
      </c>
      <c r="O101" s="29"/>
      <c r="P101" s="29"/>
      <c r="Q101" s="29"/>
      <c r="R101" s="31">
        <v>63</v>
      </c>
    </row>
    <row r="102" spans="1:18" outlineLevel="1" x14ac:dyDescent="0.2">
      <c r="N102" s="47">
        <v>14.06</v>
      </c>
      <c r="O102" s="29"/>
      <c r="P102" s="29"/>
      <c r="Q102" s="29"/>
      <c r="R102" s="31">
        <v>469</v>
      </c>
    </row>
    <row r="103" spans="1:18" outlineLevel="1" x14ac:dyDescent="0.2">
      <c r="N103" s="47">
        <v>14.43</v>
      </c>
      <c r="O103" s="29"/>
      <c r="P103" s="29"/>
      <c r="Q103" s="29"/>
      <c r="R103" s="31">
        <v>335</v>
      </c>
    </row>
    <row r="104" spans="1:18" outlineLevel="1" x14ac:dyDescent="0.2">
      <c r="N104" s="47">
        <v>19.48</v>
      </c>
      <c r="O104" s="29"/>
      <c r="P104" s="29"/>
      <c r="Q104" s="29"/>
      <c r="R104" s="31">
        <v>75</v>
      </c>
    </row>
    <row r="105" spans="1:18" outlineLevel="1" x14ac:dyDescent="0.2">
      <c r="N105" s="47">
        <v>15.15</v>
      </c>
      <c r="O105" s="29"/>
      <c r="P105" s="29"/>
      <c r="Q105" s="29"/>
      <c r="R105" s="31">
        <v>461</v>
      </c>
    </row>
    <row r="106" spans="1:18" outlineLevel="1" x14ac:dyDescent="0.2">
      <c r="N106" s="47">
        <v>13.79</v>
      </c>
      <c r="O106" s="29"/>
      <c r="P106" s="29"/>
      <c r="Q106" s="29"/>
      <c r="R106" s="31">
        <v>817</v>
      </c>
    </row>
    <row r="107" spans="1:18" outlineLevel="1" x14ac:dyDescent="0.2">
      <c r="N107" s="47">
        <v>14.31</v>
      </c>
      <c r="O107" s="29"/>
      <c r="P107" s="29"/>
      <c r="Q107" s="29"/>
      <c r="R107" s="31">
        <v>200</v>
      </c>
    </row>
    <row r="108" spans="1:18" outlineLevel="1" x14ac:dyDescent="0.2">
      <c r="N108" s="47">
        <v>19.5</v>
      </c>
      <c r="O108" s="29"/>
      <c r="P108" s="29"/>
      <c r="Q108" s="29"/>
      <c r="R108" s="31">
        <v>32</v>
      </c>
    </row>
    <row r="109" spans="1:18" outlineLevel="1" x14ac:dyDescent="0.2">
      <c r="N109" s="47">
        <v>13.85</v>
      </c>
      <c r="O109" s="29"/>
      <c r="P109" s="29"/>
      <c r="Q109" s="29"/>
      <c r="R109" s="31">
        <v>460</v>
      </c>
    </row>
    <row r="110" spans="1:18" outlineLevel="1" x14ac:dyDescent="0.2">
      <c r="N110" s="47">
        <v>14.23</v>
      </c>
      <c r="O110" s="29"/>
      <c r="P110" s="29"/>
      <c r="Q110" s="29"/>
      <c r="R110" s="31">
        <v>751</v>
      </c>
    </row>
    <row r="111" spans="1:18" outlineLevel="1" x14ac:dyDescent="0.2">
      <c r="N111" s="47">
        <v>19.309999999999999</v>
      </c>
      <c r="O111" s="29"/>
      <c r="P111" s="29"/>
      <c r="Q111" s="29"/>
      <c r="R111" s="31">
        <v>70</v>
      </c>
    </row>
    <row r="112" spans="1:18" outlineLevel="1" x14ac:dyDescent="0.2">
      <c r="N112" s="47">
        <v>19.29</v>
      </c>
      <c r="O112" s="29"/>
      <c r="P112" s="29"/>
      <c r="Q112" s="29"/>
      <c r="R112" s="31">
        <v>80</v>
      </c>
    </row>
    <row r="113" spans="1:18" outlineLevel="1" x14ac:dyDescent="0.2">
      <c r="N113" s="47">
        <v>13.76</v>
      </c>
      <c r="O113" s="29"/>
      <c r="P113" s="29"/>
      <c r="Q113" s="29"/>
      <c r="R113" s="31">
        <v>523</v>
      </c>
    </row>
    <row r="114" spans="1:18" outlineLevel="1" x14ac:dyDescent="0.2">
      <c r="N114" s="47">
        <v>13.45</v>
      </c>
      <c r="O114" s="29"/>
      <c r="P114" s="29"/>
      <c r="Q114" s="29"/>
      <c r="R114" s="31">
        <v>741</v>
      </c>
    </row>
    <row r="115" spans="1:18" outlineLevel="1" x14ac:dyDescent="0.2">
      <c r="N115" s="47">
        <v>15.13</v>
      </c>
      <c r="O115" s="29"/>
      <c r="P115" s="29"/>
      <c r="Q115" s="29"/>
      <c r="R115" s="31">
        <v>130</v>
      </c>
    </row>
    <row r="116" spans="1:18" outlineLevel="1" x14ac:dyDescent="0.2">
      <c r="N116" s="47">
        <v>19.43</v>
      </c>
      <c r="O116" s="29"/>
      <c r="P116" s="29"/>
      <c r="Q116" s="29"/>
      <c r="R116" s="31">
        <v>69</v>
      </c>
    </row>
    <row r="117" spans="1:18" outlineLevel="1" x14ac:dyDescent="0.2">
      <c r="N117" s="47">
        <v>13.26</v>
      </c>
      <c r="O117" s="29"/>
      <c r="P117" s="29"/>
      <c r="Q117" s="29"/>
      <c r="R117" s="31">
        <v>493</v>
      </c>
    </row>
    <row r="118" spans="1:18" outlineLevel="1" x14ac:dyDescent="0.2">
      <c r="N118" s="48">
        <v>13.92</v>
      </c>
      <c r="O118" s="32"/>
      <c r="P118" s="32"/>
      <c r="Q118" s="32"/>
      <c r="R118" s="33">
        <v>814</v>
      </c>
    </row>
    <row r="119" spans="1:18" outlineLevel="1" x14ac:dyDescent="0.2"/>
    <row r="120" spans="1:18" outlineLevel="1" x14ac:dyDescent="0.2"/>
    <row r="122" spans="1:18" x14ac:dyDescent="0.2">
      <c r="A122" s="5" t="s">
        <v>60</v>
      </c>
    </row>
    <row r="123" spans="1:18" outlineLevel="1" x14ac:dyDescent="0.2"/>
    <row r="124" spans="1:18" outlineLevel="1" x14ac:dyDescent="0.2"/>
    <row r="125" spans="1:18" outlineLevel="1" x14ac:dyDescent="0.2"/>
    <row r="126" spans="1:18" outlineLevel="1" x14ac:dyDescent="0.2"/>
    <row r="127" spans="1:18" outlineLevel="1" x14ac:dyDescent="0.2"/>
    <row r="128" spans="1:18"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0" spans="1:1" outlineLevel="1" x14ac:dyDescent="0.2"/>
    <row r="141" spans="1:1" outlineLevel="1" x14ac:dyDescent="0.2"/>
    <row r="142" spans="1:1" outlineLevel="1" x14ac:dyDescent="0.2"/>
    <row r="144" spans="1:1" x14ac:dyDescent="0.2">
      <c r="A144" s="5" t="s">
        <v>61</v>
      </c>
    </row>
    <row r="145" outlineLevel="1" x14ac:dyDescent="0.2"/>
    <row r="146" outlineLevel="1" x14ac:dyDescent="0.2"/>
    <row r="147" outlineLevel="1" x14ac:dyDescent="0.2"/>
    <row r="148" outlineLevel="1" x14ac:dyDescent="0.2"/>
    <row r="149" outlineLevel="1" x14ac:dyDescent="0.2"/>
    <row r="150" outlineLevel="1" x14ac:dyDescent="0.2"/>
    <row r="151" outlineLevel="1" x14ac:dyDescent="0.2"/>
    <row r="152" outlineLevel="1" x14ac:dyDescent="0.2"/>
    <row r="153" outlineLevel="1" x14ac:dyDescent="0.2"/>
    <row r="154" outlineLevel="1" x14ac:dyDescent="0.2"/>
    <row r="155" outlineLevel="1" x14ac:dyDescent="0.2"/>
    <row r="156" outlineLevel="1" x14ac:dyDescent="0.2"/>
    <row r="157" outlineLevel="1" x14ac:dyDescent="0.2"/>
    <row r="158" outlineLevel="1" x14ac:dyDescent="0.2"/>
    <row r="159" outlineLevel="1" x14ac:dyDescent="0.2"/>
    <row r="160" outlineLevel="1" x14ac:dyDescent="0.2"/>
    <row r="161" spans="1:1" outlineLevel="1" x14ac:dyDescent="0.2"/>
    <row r="162" spans="1:1" outlineLevel="1" x14ac:dyDescent="0.2"/>
    <row r="163" spans="1:1" outlineLevel="1" x14ac:dyDescent="0.2"/>
    <row r="164" spans="1:1" outlineLevel="1" x14ac:dyDescent="0.2"/>
    <row r="166" spans="1:1" x14ac:dyDescent="0.2">
      <c r="A166" s="5" t="s">
        <v>62</v>
      </c>
    </row>
    <row r="167" spans="1:1" outlineLevel="1" x14ac:dyDescent="0.2"/>
    <row r="168" spans="1:1" outlineLevel="1" x14ac:dyDescent="0.2"/>
    <row r="169" spans="1:1" outlineLevel="1" x14ac:dyDescent="0.2"/>
    <row r="170" spans="1:1" outlineLevel="1" x14ac:dyDescent="0.2"/>
    <row r="171" spans="1:1" outlineLevel="1" x14ac:dyDescent="0.2"/>
    <row r="172" spans="1:1" outlineLevel="1" x14ac:dyDescent="0.2"/>
    <row r="173" spans="1:1" outlineLevel="1" x14ac:dyDescent="0.2"/>
    <row r="174" spans="1:1" outlineLevel="1" x14ac:dyDescent="0.2"/>
    <row r="175" spans="1:1" outlineLevel="1" x14ac:dyDescent="0.2"/>
    <row r="176" spans="1:1" outlineLevel="1" x14ac:dyDescent="0.2"/>
    <row r="177" spans="1:6" outlineLevel="1" x14ac:dyDescent="0.2"/>
    <row r="178" spans="1:6" outlineLevel="1" x14ac:dyDescent="0.2"/>
    <row r="179" spans="1:6" outlineLevel="1" x14ac:dyDescent="0.2"/>
    <row r="180" spans="1:6" outlineLevel="1" x14ac:dyDescent="0.2"/>
    <row r="181" spans="1:6" outlineLevel="1" x14ac:dyDescent="0.2"/>
    <row r="182" spans="1:6" outlineLevel="1" x14ac:dyDescent="0.2"/>
    <row r="183" spans="1:6" outlineLevel="1" x14ac:dyDescent="0.2"/>
    <row r="184" spans="1:6" outlineLevel="1" x14ac:dyDescent="0.2"/>
    <row r="185" spans="1:6" outlineLevel="1" x14ac:dyDescent="0.2"/>
    <row r="186" spans="1:6" outlineLevel="1" x14ac:dyDescent="0.2"/>
    <row r="188" spans="1:6" x14ac:dyDescent="0.2">
      <c r="A188" s="5" t="s">
        <v>63</v>
      </c>
    </row>
    <row r="189" spans="1:6" ht="12" hidden="1" outlineLevel="1" thickBot="1" x14ac:dyDescent="0.25">
      <c r="A189" s="7" t="s">
        <v>53</v>
      </c>
      <c r="B189" s="7" t="s">
        <v>64</v>
      </c>
      <c r="C189" s="7" t="s">
        <v>44</v>
      </c>
      <c r="D189" s="7" t="s">
        <v>35</v>
      </c>
      <c r="E189" s="7" t="s">
        <v>65</v>
      </c>
    </row>
    <row r="190" spans="1:6" ht="15" hidden="1" outlineLevel="1" x14ac:dyDescent="0.25">
      <c r="A190" s="17">
        <v>29</v>
      </c>
      <c r="B190" s="18">
        <v>890</v>
      </c>
      <c r="C190" s="18">
        <v>557.51583164901626</v>
      </c>
      <c r="D190" s="18">
        <f t="shared" ref="D190:D221" si="10">B190 - C190</f>
        <v>332.48416835098374</v>
      </c>
      <c r="E190" s="4">
        <f t="shared" ref="E190:E221" si="11">D190 /130.528527245373</f>
        <v>2.5472145849463699</v>
      </c>
      <c r="F190"/>
    </row>
    <row r="191" spans="1:6" ht="15" hidden="1" outlineLevel="1" x14ac:dyDescent="0.25">
      <c r="A191" s="9">
        <v>18</v>
      </c>
      <c r="B191" s="8">
        <v>176</v>
      </c>
      <c r="C191" s="8">
        <v>497.06110448054528</v>
      </c>
      <c r="D191" s="8">
        <f t="shared" si="10"/>
        <v>-321.06110448054528</v>
      </c>
      <c r="E191" s="3">
        <f t="shared" si="11"/>
        <v>-2.4597006589754984</v>
      </c>
      <c r="F191"/>
    </row>
    <row r="192" spans="1:6" ht="15" hidden="1" outlineLevel="1" x14ac:dyDescent="0.25">
      <c r="A192" s="9">
        <v>52</v>
      </c>
      <c r="B192" s="8">
        <v>814</v>
      </c>
      <c r="C192" s="8">
        <v>517.52270444525857</v>
      </c>
      <c r="D192" s="8">
        <f t="shared" si="10"/>
        <v>296.47729555474143</v>
      </c>
      <c r="E192" s="3">
        <f t="shared" si="11"/>
        <v>2.2713601525390001</v>
      </c>
      <c r="F192"/>
    </row>
    <row r="193" spans="1:6" ht="15" hidden="1" outlineLevel="1" x14ac:dyDescent="0.25">
      <c r="A193" s="9">
        <v>40</v>
      </c>
      <c r="B193" s="8">
        <v>817</v>
      </c>
      <c r="C193" s="8">
        <v>529.61364987895286</v>
      </c>
      <c r="D193" s="8">
        <f t="shared" si="10"/>
        <v>287.38635012104714</v>
      </c>
      <c r="E193" s="3">
        <f t="shared" si="11"/>
        <v>2.2017129602696448</v>
      </c>
      <c r="F193"/>
    </row>
    <row r="194" spans="1:6" ht="15" hidden="1" outlineLevel="1" x14ac:dyDescent="0.25">
      <c r="A194" s="9">
        <v>41</v>
      </c>
      <c r="B194" s="8">
        <v>200</v>
      </c>
      <c r="C194" s="8">
        <v>481.24986814417593</v>
      </c>
      <c r="D194" s="8">
        <f t="shared" si="10"/>
        <v>-281.24986814417593</v>
      </c>
      <c r="E194" s="3">
        <f t="shared" si="11"/>
        <v>-2.154700386801045</v>
      </c>
      <c r="F194"/>
    </row>
    <row r="195" spans="1:6" ht="15" hidden="1" outlineLevel="1" x14ac:dyDescent="0.25">
      <c r="A195" s="9">
        <v>49</v>
      </c>
      <c r="B195" s="8">
        <v>130</v>
      </c>
      <c r="C195" s="8">
        <v>404.98390463933561</v>
      </c>
      <c r="D195" s="8">
        <f t="shared" si="10"/>
        <v>-274.98390463933561</v>
      </c>
      <c r="E195" s="3">
        <f t="shared" si="11"/>
        <v>-2.1066958345619677</v>
      </c>
      <c r="F195"/>
    </row>
    <row r="196" spans="1:6" ht="15" hidden="1" outlineLevel="1" x14ac:dyDescent="0.25">
      <c r="A196" s="9">
        <v>44</v>
      </c>
      <c r="B196" s="8">
        <v>751</v>
      </c>
      <c r="C196" s="8">
        <v>488.69044994952628</v>
      </c>
      <c r="D196" s="8">
        <f t="shared" si="10"/>
        <v>262.30955005047372</v>
      </c>
      <c r="E196" s="3">
        <f t="shared" si="11"/>
        <v>2.0095955695368661</v>
      </c>
      <c r="F196"/>
    </row>
    <row r="197" spans="1:6" ht="15" hidden="1" outlineLevel="1" x14ac:dyDescent="0.25">
      <c r="A197" s="9">
        <v>32</v>
      </c>
      <c r="B197" s="8">
        <v>775</v>
      </c>
      <c r="C197" s="8">
        <v>540.77452258697826</v>
      </c>
      <c r="D197" s="8">
        <f t="shared" si="10"/>
        <v>234.22547741302174</v>
      </c>
      <c r="E197" s="3">
        <f t="shared" si="11"/>
        <v>1.7944389809341437</v>
      </c>
      <c r="F197"/>
    </row>
    <row r="198" spans="1:6" ht="15" hidden="1" outlineLevel="1" x14ac:dyDescent="0.25">
      <c r="A198" s="9">
        <v>33</v>
      </c>
      <c r="B198" s="8">
        <v>236</v>
      </c>
      <c r="C198" s="8">
        <v>470.08899543615075</v>
      </c>
      <c r="D198" s="8">
        <f t="shared" si="10"/>
        <v>-234.08899543615075</v>
      </c>
      <c r="E198" s="3">
        <f t="shared" si="11"/>
        <v>-1.7933933706008989</v>
      </c>
      <c r="F198"/>
    </row>
    <row r="199" spans="1:6" ht="15" hidden="1" outlineLevel="1" x14ac:dyDescent="0.25">
      <c r="A199" s="9">
        <v>48</v>
      </c>
      <c r="B199" s="8">
        <v>741</v>
      </c>
      <c r="C199" s="8">
        <v>561.23612255169155</v>
      </c>
      <c r="D199" s="8">
        <f t="shared" si="10"/>
        <v>179.76387744830845</v>
      </c>
      <c r="E199" s="3">
        <f t="shared" si="11"/>
        <v>1.3771999212890893</v>
      </c>
      <c r="F199"/>
    </row>
    <row r="200" spans="1:6" ht="15" hidden="1" outlineLevel="1" x14ac:dyDescent="0.25">
      <c r="A200" s="9">
        <v>37</v>
      </c>
      <c r="B200" s="8">
        <v>335</v>
      </c>
      <c r="C200" s="8">
        <v>470.08899543615075</v>
      </c>
      <c r="D200" s="8">
        <f t="shared" si="10"/>
        <v>-135.08899543615075</v>
      </c>
      <c r="E200" s="3">
        <f t="shared" si="11"/>
        <v>-1.034938478867572</v>
      </c>
      <c r="F200"/>
    </row>
    <row r="201" spans="1:6" ht="15" hidden="1" outlineLevel="1" x14ac:dyDescent="0.25">
      <c r="A201" s="9">
        <v>13</v>
      </c>
      <c r="B201" s="8">
        <v>404</v>
      </c>
      <c r="C201" s="8">
        <v>522.17306807360251</v>
      </c>
      <c r="D201" s="8">
        <f t="shared" si="10"/>
        <v>-118.17306807360251</v>
      </c>
      <c r="E201" s="3">
        <f t="shared" si="11"/>
        <v>-0.90534284395514419</v>
      </c>
      <c r="F201"/>
    </row>
    <row r="202" spans="1:6" ht="15" hidden="1" outlineLevel="1" x14ac:dyDescent="0.25">
      <c r="A202" s="9">
        <v>14</v>
      </c>
      <c r="B202" s="8">
        <v>380</v>
      </c>
      <c r="C202" s="8">
        <v>484.97015904685122</v>
      </c>
      <c r="D202" s="8">
        <f t="shared" si="10"/>
        <v>-104.97015904685122</v>
      </c>
      <c r="E202" s="3">
        <f t="shared" si="11"/>
        <v>-0.80419323853646119</v>
      </c>
      <c r="F202"/>
    </row>
    <row r="203" spans="1:6" ht="15" hidden="1" outlineLevel="1" x14ac:dyDescent="0.25">
      <c r="A203" s="9">
        <v>51</v>
      </c>
      <c r="B203" s="8">
        <v>493</v>
      </c>
      <c r="C203" s="8">
        <v>578.90750433939843</v>
      </c>
      <c r="D203" s="8">
        <f t="shared" si="10"/>
        <v>-85.907504339398429</v>
      </c>
      <c r="E203" s="3">
        <f t="shared" si="11"/>
        <v>-0.65815118083655311</v>
      </c>
      <c r="F203"/>
    </row>
    <row r="204" spans="1:6" ht="15" hidden="1" outlineLevel="1" x14ac:dyDescent="0.25">
      <c r="A204" s="9">
        <v>38</v>
      </c>
      <c r="B204" s="8">
        <v>75</v>
      </c>
      <c r="C204" s="8">
        <v>0.40226897341472068</v>
      </c>
      <c r="D204" s="8">
        <f t="shared" si="10"/>
        <v>74.597731026585279</v>
      </c>
      <c r="E204" s="3">
        <f t="shared" si="11"/>
        <v>0.57150519201333927</v>
      </c>
      <c r="F204"/>
    </row>
    <row r="205" spans="1:6" ht="15" hidden="1" outlineLevel="1" x14ac:dyDescent="0.25">
      <c r="A205" s="9">
        <v>17</v>
      </c>
      <c r="B205" s="8">
        <v>456</v>
      </c>
      <c r="C205" s="8">
        <v>522.17306807360251</v>
      </c>
      <c r="D205" s="8">
        <f t="shared" si="10"/>
        <v>-66.173068073602508</v>
      </c>
      <c r="E205" s="3">
        <f t="shared" si="11"/>
        <v>-0.50696249678208349</v>
      </c>
      <c r="F205"/>
    </row>
    <row r="206" spans="1:6" ht="15" hidden="1" outlineLevel="1" x14ac:dyDescent="0.25">
      <c r="A206" s="9">
        <v>43</v>
      </c>
      <c r="B206" s="8">
        <v>460</v>
      </c>
      <c r="C206" s="8">
        <v>524.03321352494004</v>
      </c>
      <c r="D206" s="8">
        <f t="shared" si="10"/>
        <v>-64.033213524940038</v>
      </c>
      <c r="E206" s="3">
        <f t="shared" si="11"/>
        <v>-0.49056872758985259</v>
      </c>
      <c r="F206"/>
    </row>
    <row r="207" spans="1:6" ht="15" hidden="1" outlineLevel="1" x14ac:dyDescent="0.25">
      <c r="A207" s="9">
        <v>50</v>
      </c>
      <c r="B207" s="8">
        <v>69</v>
      </c>
      <c r="C207" s="8">
        <v>5.0526326017586598</v>
      </c>
      <c r="D207" s="8">
        <f t="shared" si="10"/>
        <v>63.94736739824134</v>
      </c>
      <c r="E207" s="3">
        <f t="shared" si="11"/>
        <v>0.48991104663297391</v>
      </c>
      <c r="F207"/>
    </row>
    <row r="208" spans="1:6" ht="15" hidden="1" outlineLevel="1" x14ac:dyDescent="0.25">
      <c r="A208" s="9">
        <v>46</v>
      </c>
      <c r="B208" s="8">
        <v>80</v>
      </c>
      <c r="C208" s="8">
        <v>18.073650761121826</v>
      </c>
      <c r="D208" s="8">
        <f t="shared" si="10"/>
        <v>61.926349238878174</v>
      </c>
      <c r="E208" s="3">
        <f t="shared" si="11"/>
        <v>0.47442770209508628</v>
      </c>
      <c r="F208"/>
    </row>
    <row r="209" spans="1:6" ht="15" hidden="1" outlineLevel="1" x14ac:dyDescent="0.25">
      <c r="A209" s="9">
        <v>1</v>
      </c>
      <c r="B209" s="8">
        <v>439</v>
      </c>
      <c r="C209" s="8">
        <v>500.78139538322057</v>
      </c>
      <c r="D209" s="8">
        <f t="shared" si="10"/>
        <v>-61.78139538322057</v>
      </c>
      <c r="E209" s="3">
        <f t="shared" si="11"/>
        <v>-0.47331718733852957</v>
      </c>
      <c r="F209"/>
    </row>
    <row r="210" spans="1:6" ht="15" hidden="1" outlineLevel="1" x14ac:dyDescent="0.25">
      <c r="A210" s="9">
        <v>39</v>
      </c>
      <c r="B210" s="8">
        <v>461</v>
      </c>
      <c r="C210" s="8">
        <v>403.12375918799808</v>
      </c>
      <c r="D210" s="8">
        <f t="shared" si="10"/>
        <v>57.876240812001924</v>
      </c>
      <c r="E210" s="3">
        <f t="shared" si="11"/>
        <v>0.44339917130301898</v>
      </c>
      <c r="F210"/>
    </row>
    <row r="211" spans="1:6" ht="15" hidden="1" outlineLevel="1" x14ac:dyDescent="0.25">
      <c r="A211" s="9">
        <v>30</v>
      </c>
      <c r="B211" s="8">
        <v>371</v>
      </c>
      <c r="C211" s="8">
        <v>427.30565005538642</v>
      </c>
      <c r="D211" s="8">
        <f t="shared" si="10"/>
        <v>-56.305650055386423</v>
      </c>
      <c r="E211" s="3">
        <f t="shared" si="11"/>
        <v>-0.43136662340134047</v>
      </c>
      <c r="F211"/>
    </row>
    <row r="212" spans="1:6" ht="15" hidden="1" outlineLevel="1" x14ac:dyDescent="0.25">
      <c r="A212" s="9">
        <v>35</v>
      </c>
      <c r="B212" s="8">
        <v>63</v>
      </c>
      <c r="C212" s="8">
        <v>117.59143240768162</v>
      </c>
      <c r="D212" s="8">
        <f t="shared" si="10"/>
        <v>-54.591432407681623</v>
      </c>
      <c r="E212" s="3">
        <f t="shared" si="11"/>
        <v>-0.41823372683167076</v>
      </c>
      <c r="F212"/>
    </row>
    <row r="213" spans="1:6" ht="15" hidden="1" outlineLevel="1" x14ac:dyDescent="0.25">
      <c r="A213" s="9">
        <v>45</v>
      </c>
      <c r="B213" s="8">
        <v>70</v>
      </c>
      <c r="C213" s="8">
        <v>16.213505309784296</v>
      </c>
      <c r="D213" s="8">
        <f t="shared" si="10"/>
        <v>53.786494690215704</v>
      </c>
      <c r="E213" s="3">
        <f t="shared" si="11"/>
        <v>0.41206696976750223</v>
      </c>
      <c r="F213"/>
    </row>
    <row r="214" spans="1:6" ht="15" hidden="1" outlineLevel="1" x14ac:dyDescent="0.25">
      <c r="A214" s="9">
        <v>27</v>
      </c>
      <c r="B214" s="8">
        <v>116</v>
      </c>
      <c r="C214" s="8">
        <v>68.29757794723605</v>
      </c>
      <c r="D214" s="8">
        <f t="shared" si="10"/>
        <v>47.70242205276395</v>
      </c>
      <c r="E214" s="3">
        <f t="shared" si="11"/>
        <v>0.3654559126610763</v>
      </c>
      <c r="F214"/>
    </row>
    <row r="215" spans="1:6" ht="15" hidden="1" outlineLevel="1" x14ac:dyDescent="0.25">
      <c r="A215" s="9">
        <v>31</v>
      </c>
      <c r="B215" s="8">
        <v>557</v>
      </c>
      <c r="C215" s="8">
        <v>515.66255899392104</v>
      </c>
      <c r="D215" s="8">
        <f t="shared" si="10"/>
        <v>41.337441006078961</v>
      </c>
      <c r="E215" s="3">
        <f t="shared" si="11"/>
        <v>0.31669277113937788</v>
      </c>
      <c r="F215"/>
    </row>
    <row r="216" spans="1:6" ht="15" hidden="1" outlineLevel="1" x14ac:dyDescent="0.25">
      <c r="A216" s="9">
        <v>36</v>
      </c>
      <c r="B216" s="8">
        <v>469</v>
      </c>
      <c r="C216" s="8">
        <v>504.50168628589563</v>
      </c>
      <c r="D216" s="8">
        <f t="shared" si="10"/>
        <v>-35.50168628589563</v>
      </c>
      <c r="E216" s="3">
        <f t="shared" si="11"/>
        <v>-0.27198411745777284</v>
      </c>
      <c r="F216"/>
    </row>
    <row r="217" spans="1:6" ht="15" hidden="1" outlineLevel="1" x14ac:dyDescent="0.25">
      <c r="A217" s="9">
        <v>42</v>
      </c>
      <c r="B217" s="8">
        <v>32</v>
      </c>
      <c r="C217" s="8">
        <v>-1.4578764779228095</v>
      </c>
      <c r="D217" s="8">
        <f t="shared" si="10"/>
        <v>33.457876477922809</v>
      </c>
      <c r="E217" s="3">
        <f t="shared" si="11"/>
        <v>0.25632616244131284</v>
      </c>
      <c r="F217"/>
    </row>
    <row r="218" spans="1:6" ht="15" hidden="1" outlineLevel="1" x14ac:dyDescent="0.25">
      <c r="A218" s="9">
        <v>7</v>
      </c>
      <c r="B218" s="8">
        <v>47</v>
      </c>
      <c r="C218" s="8">
        <v>77.598305203923928</v>
      </c>
      <c r="D218" s="8">
        <f t="shared" si="10"/>
        <v>-30.598305203923928</v>
      </c>
      <c r="E218" s="3">
        <f t="shared" si="11"/>
        <v>-0.23441852788550929</v>
      </c>
      <c r="F218"/>
    </row>
    <row r="219" spans="1:6" ht="15" hidden="1" outlineLevel="1" x14ac:dyDescent="0.25">
      <c r="A219" s="9">
        <v>23</v>
      </c>
      <c r="B219" s="8">
        <v>41</v>
      </c>
      <c r="C219" s="8">
        <v>69.227650672904929</v>
      </c>
      <c r="D219" s="8">
        <f t="shared" si="10"/>
        <v>-28.227650672904929</v>
      </c>
      <c r="E219" s="3">
        <f t="shared" si="11"/>
        <v>-0.21625656297984125</v>
      </c>
      <c r="F219"/>
    </row>
    <row r="220" spans="1:6" ht="15" hidden="1" outlineLevel="1" x14ac:dyDescent="0.25">
      <c r="A220" s="9">
        <v>16</v>
      </c>
      <c r="B220" s="8">
        <v>40</v>
      </c>
      <c r="C220" s="8">
        <v>66.43743249589852</v>
      </c>
      <c r="D220" s="8">
        <f t="shared" si="10"/>
        <v>-26.43743249589852</v>
      </c>
      <c r="E220" s="3">
        <f t="shared" si="11"/>
        <v>-0.20254141415539245</v>
      </c>
      <c r="F220"/>
    </row>
    <row r="221" spans="1:6" ht="15" hidden="1" outlineLevel="1" x14ac:dyDescent="0.25">
      <c r="A221" s="9">
        <v>4</v>
      </c>
      <c r="B221" s="8">
        <v>52</v>
      </c>
      <c r="C221" s="8">
        <v>77.598305203923928</v>
      </c>
      <c r="D221" s="8">
        <f t="shared" si="10"/>
        <v>-25.598305203923928</v>
      </c>
      <c r="E221" s="3">
        <f t="shared" si="11"/>
        <v>-0.19611272527271498</v>
      </c>
      <c r="F221"/>
    </row>
    <row r="222" spans="1:6" ht="15" hidden="1" outlineLevel="1" x14ac:dyDescent="0.25">
      <c r="A222" s="9">
        <v>34</v>
      </c>
      <c r="B222" s="8">
        <v>43</v>
      </c>
      <c r="C222" s="8">
        <v>68.29757794723605</v>
      </c>
      <c r="D222" s="8">
        <f t="shared" ref="D222:D241" si="12">B222 - C222</f>
        <v>-25.29757794723605</v>
      </c>
      <c r="E222" s="3">
        <f t="shared" ref="E222:E241" si="13">D222 /130.528527245373</f>
        <v>-0.19380880548572038</v>
      </c>
      <c r="F222"/>
    </row>
    <row r="223" spans="1:6" ht="15" hidden="1" outlineLevel="1" x14ac:dyDescent="0.25">
      <c r="A223" s="9">
        <v>24</v>
      </c>
      <c r="B223" s="8">
        <v>47</v>
      </c>
      <c r="C223" s="8">
        <v>68.29757794723605</v>
      </c>
      <c r="D223" s="8">
        <f t="shared" si="12"/>
        <v>-21.29757794723605</v>
      </c>
      <c r="E223" s="3">
        <f t="shared" si="13"/>
        <v>-0.16316416339548495</v>
      </c>
      <c r="F223"/>
    </row>
    <row r="224" spans="1:6" ht="15" hidden="1" outlineLevel="1" x14ac:dyDescent="0.25">
      <c r="A224" s="9">
        <v>2</v>
      </c>
      <c r="B224" s="8">
        <v>98</v>
      </c>
      <c r="C224" s="8">
        <v>77.598305203923928</v>
      </c>
      <c r="D224" s="8">
        <f t="shared" si="12"/>
        <v>20.401694796076072</v>
      </c>
      <c r="E224" s="3">
        <f t="shared" si="13"/>
        <v>0.15630065876499249</v>
      </c>
      <c r="F224"/>
    </row>
    <row r="225" spans="1:6" ht="15" hidden="1" outlineLevel="1" x14ac:dyDescent="0.25">
      <c r="A225" s="9">
        <v>20</v>
      </c>
      <c r="B225" s="8">
        <v>91</v>
      </c>
      <c r="C225" s="8">
        <v>71.087796124242459</v>
      </c>
      <c r="D225" s="8">
        <f t="shared" si="12"/>
        <v>19.912203875757541</v>
      </c>
      <c r="E225" s="3">
        <f t="shared" si="13"/>
        <v>0.15255059025009718</v>
      </c>
      <c r="F225"/>
    </row>
    <row r="226" spans="1:6" ht="15" hidden="1" outlineLevel="1" x14ac:dyDescent="0.25">
      <c r="A226" s="9">
        <v>26</v>
      </c>
      <c r="B226" s="8">
        <v>85</v>
      </c>
      <c r="C226" s="8">
        <v>68.29757794723605</v>
      </c>
      <c r="D226" s="8">
        <f t="shared" si="12"/>
        <v>16.70242205276395</v>
      </c>
      <c r="E226" s="3">
        <f t="shared" si="13"/>
        <v>0.12795993646175166</v>
      </c>
      <c r="F226"/>
    </row>
    <row r="227" spans="1:6" ht="15" hidden="1" outlineLevel="1" x14ac:dyDescent="0.25">
      <c r="A227" s="9">
        <v>25</v>
      </c>
      <c r="B227" s="8">
        <v>84</v>
      </c>
      <c r="C227" s="8">
        <v>68.29757794723605</v>
      </c>
      <c r="D227" s="8">
        <f t="shared" si="12"/>
        <v>15.70242205276395</v>
      </c>
      <c r="E227" s="3">
        <f t="shared" si="13"/>
        <v>0.1202987759391928</v>
      </c>
      <c r="F227"/>
    </row>
    <row r="228" spans="1:6" ht="15" hidden="1" outlineLevel="1" x14ac:dyDescent="0.25">
      <c r="A228" s="9">
        <v>22</v>
      </c>
      <c r="B228" s="8">
        <v>83</v>
      </c>
      <c r="C228" s="8">
        <v>67.367505221567171</v>
      </c>
      <c r="D228" s="8">
        <f t="shared" si="12"/>
        <v>15.632494778432829</v>
      </c>
      <c r="E228" s="3">
        <f t="shared" si="13"/>
        <v>0.11976305186563707</v>
      </c>
      <c r="F228"/>
    </row>
    <row r="229" spans="1:6" ht="15" hidden="1" outlineLevel="1" x14ac:dyDescent="0.25">
      <c r="A229" s="9">
        <v>8</v>
      </c>
      <c r="B229" s="8">
        <v>85</v>
      </c>
      <c r="C229" s="8">
        <v>70.15772339857358</v>
      </c>
      <c r="D229" s="8">
        <f t="shared" si="12"/>
        <v>14.84227660142642</v>
      </c>
      <c r="E229" s="3">
        <f t="shared" si="13"/>
        <v>0.11370906356374715</v>
      </c>
      <c r="F229"/>
    </row>
    <row r="230" spans="1:6" ht="15" hidden="1" outlineLevel="1" x14ac:dyDescent="0.25">
      <c r="A230" s="9">
        <v>28</v>
      </c>
      <c r="B230" s="8">
        <v>544</v>
      </c>
      <c r="C230" s="8">
        <v>529.61364987895286</v>
      </c>
      <c r="D230" s="8">
        <f t="shared" si="12"/>
        <v>14.386350121047144</v>
      </c>
      <c r="E230" s="3">
        <f t="shared" si="13"/>
        <v>0.11021613761107624</v>
      </c>
      <c r="F230"/>
    </row>
    <row r="231" spans="1:6" ht="15" hidden="1" outlineLevel="1" x14ac:dyDescent="0.25">
      <c r="A231" s="9">
        <v>12</v>
      </c>
      <c r="B231" s="8">
        <v>54</v>
      </c>
      <c r="C231" s="8">
        <v>68.29757794723605</v>
      </c>
      <c r="D231" s="8">
        <f t="shared" si="12"/>
        <v>-14.29757794723605</v>
      </c>
      <c r="E231" s="3">
        <f t="shared" si="13"/>
        <v>-0.10953603973757295</v>
      </c>
      <c r="F231"/>
    </row>
    <row r="232" spans="1:6" ht="15" hidden="1" outlineLevel="1" x14ac:dyDescent="0.25">
      <c r="A232" s="9">
        <v>5</v>
      </c>
      <c r="B232" s="8">
        <v>64</v>
      </c>
      <c r="C232" s="8">
        <v>77.598305203923928</v>
      </c>
      <c r="D232" s="8">
        <f t="shared" si="12"/>
        <v>-13.598305203923928</v>
      </c>
      <c r="E232" s="3">
        <f t="shared" si="13"/>
        <v>-0.10417879900200869</v>
      </c>
      <c r="F232"/>
    </row>
    <row r="233" spans="1:6" ht="15" hidden="1" outlineLevel="1" x14ac:dyDescent="0.25">
      <c r="A233" s="9">
        <v>11</v>
      </c>
      <c r="B233" s="8">
        <v>57</v>
      </c>
      <c r="C233" s="8">
        <v>68.29757794723605</v>
      </c>
      <c r="D233" s="8">
        <f t="shared" si="12"/>
        <v>-11.29757794723605</v>
      </c>
      <c r="E233" s="3">
        <f t="shared" si="13"/>
        <v>-8.6552558169896376E-2</v>
      </c>
      <c r="F233"/>
    </row>
    <row r="234" spans="1:6" ht="15" hidden="1" outlineLevel="1" x14ac:dyDescent="0.25">
      <c r="A234" s="9">
        <v>47</v>
      </c>
      <c r="B234" s="8">
        <v>523</v>
      </c>
      <c r="C234" s="8">
        <v>532.40386805595926</v>
      </c>
      <c r="D234" s="8">
        <f t="shared" si="12"/>
        <v>-9.4038680559592649</v>
      </c>
      <c r="E234" s="3">
        <f t="shared" si="13"/>
        <v>-7.2044542709667439E-2</v>
      </c>
      <c r="F234"/>
    </row>
    <row r="235" spans="1:6" ht="15" hidden="1" outlineLevel="1" x14ac:dyDescent="0.25">
      <c r="A235" s="9">
        <v>9</v>
      </c>
      <c r="B235" s="8">
        <v>59</v>
      </c>
      <c r="C235" s="8">
        <v>68.29757794723605</v>
      </c>
      <c r="D235" s="8">
        <f t="shared" si="12"/>
        <v>-9.29757794723605</v>
      </c>
      <c r="E235" s="3">
        <f t="shared" si="13"/>
        <v>-7.1230237124778661E-2</v>
      </c>
      <c r="F235"/>
    </row>
    <row r="236" spans="1:6" ht="15" hidden="1" outlineLevel="1" x14ac:dyDescent="0.25">
      <c r="A236" s="9">
        <v>21</v>
      </c>
      <c r="B236" s="8">
        <v>59</v>
      </c>
      <c r="C236" s="8">
        <v>67.367505221567171</v>
      </c>
      <c r="D236" s="8">
        <f t="shared" si="12"/>
        <v>-8.3675052215671712</v>
      </c>
      <c r="E236" s="3">
        <f t="shared" si="13"/>
        <v>-6.4104800675775522E-2</v>
      </c>
      <c r="F236"/>
    </row>
    <row r="237" spans="1:6" ht="15" hidden="1" outlineLevel="1" x14ac:dyDescent="0.25">
      <c r="A237" s="9">
        <v>3</v>
      </c>
      <c r="B237" s="8">
        <v>70</v>
      </c>
      <c r="C237" s="8">
        <v>77.598305203923928</v>
      </c>
      <c r="D237" s="8">
        <f t="shared" si="12"/>
        <v>-7.5983052039239283</v>
      </c>
      <c r="E237" s="3">
        <f t="shared" si="13"/>
        <v>-5.8211835866655535E-2</v>
      </c>
      <c r="F237"/>
    </row>
    <row r="238" spans="1:6" ht="15" hidden="1" outlineLevel="1" x14ac:dyDescent="0.25">
      <c r="A238" s="9">
        <v>19</v>
      </c>
      <c r="B238" s="8">
        <v>61</v>
      </c>
      <c r="C238" s="8">
        <v>67.367505221567171</v>
      </c>
      <c r="D238" s="8">
        <f t="shared" si="12"/>
        <v>-6.3675052215671712</v>
      </c>
      <c r="E238" s="3">
        <f t="shared" si="13"/>
        <v>-4.8782479630657807E-2</v>
      </c>
      <c r="F238"/>
    </row>
    <row r="239" spans="1:6" ht="15" hidden="1" outlineLevel="1" x14ac:dyDescent="0.25">
      <c r="A239" s="9">
        <v>6</v>
      </c>
      <c r="B239" s="8">
        <v>72</v>
      </c>
      <c r="C239" s="8">
        <v>77.598305203923928</v>
      </c>
      <c r="D239" s="8">
        <f t="shared" si="12"/>
        <v>-5.5983052039239283</v>
      </c>
      <c r="E239" s="3">
        <f t="shared" si="13"/>
        <v>-4.2889514821537821E-2</v>
      </c>
      <c r="F239"/>
    </row>
    <row r="240" spans="1:6" ht="15" hidden="1" outlineLevel="1" x14ac:dyDescent="0.25">
      <c r="A240" s="9">
        <v>10</v>
      </c>
      <c r="B240" s="8">
        <v>63</v>
      </c>
      <c r="C240" s="8">
        <v>68.29757794723605</v>
      </c>
      <c r="D240" s="8">
        <f t="shared" si="12"/>
        <v>-5.29757794723605</v>
      </c>
      <c r="E240" s="3">
        <f t="shared" si="13"/>
        <v>-4.0585595034543225E-2</v>
      </c>
      <c r="F240"/>
    </row>
    <row r="241" spans="1:6" ht="15" hidden="1" outlineLevel="1" x14ac:dyDescent="0.25">
      <c r="A241" s="9">
        <v>15</v>
      </c>
      <c r="B241" s="8">
        <v>65</v>
      </c>
      <c r="C241" s="8">
        <v>67.367505221567171</v>
      </c>
      <c r="D241" s="8">
        <f t="shared" si="12"/>
        <v>-2.3675052215671712</v>
      </c>
      <c r="E241" s="3">
        <f t="shared" si="13"/>
        <v>-1.8137837540422377E-2</v>
      </c>
      <c r="F241"/>
    </row>
    <row r="242" spans="1:6" collapsed="1" x14ac:dyDescent="0.2"/>
  </sheetData>
  <sortState ref="A190:F241">
    <sortCondition descending="1" ref="F190"/>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42"/>
  <sheetViews>
    <sheetView showGridLines="0" showRowColHeaders="0" workbookViewId="0">
      <selection activeCell="I10" sqref="I10"/>
    </sheetView>
  </sheetViews>
  <sheetFormatPr defaultRowHeight="11.25" outlineLevelRow="1" x14ac:dyDescent="0.2"/>
  <cols>
    <col min="1" max="1" width="13.28515625" style="3" customWidth="1"/>
    <col min="2" max="7" width="9.140625" style="3"/>
    <col min="8" max="8" width="9.28515625" style="3" bestFit="1" customWidth="1"/>
    <col min="9" max="77" width="9.140625" style="3"/>
    <col min="78" max="78" width="52.28515625" style="3" bestFit="1" customWidth="1"/>
    <col min="79" max="16384" width="9.140625" style="3"/>
  </cols>
  <sheetData>
    <row r="1" spans="1:78" ht="15" x14ac:dyDescent="0.25">
      <c r="A1" s="4" t="s">
        <v>7</v>
      </c>
      <c r="B1" s="3" t="s">
        <v>89</v>
      </c>
      <c r="E1"/>
      <c r="Z1" s="15" t="s">
        <v>90</v>
      </c>
      <c r="BZ1"/>
    </row>
    <row r="2" spans="1:78" x14ac:dyDescent="0.2">
      <c r="A2" s="4" t="s">
        <v>10</v>
      </c>
      <c r="C2" s="3" t="s">
        <v>84</v>
      </c>
      <c r="AA2" s="15" t="str">
        <f>"Forecasts and " &amp; TEXT($I$10, "0.0%") &amp; " confidence limits for means and forecasts
Log-log price-demand model for CASES_18PK_LN    (1 variable, n=52)"</f>
        <v>Forecasts and 95.0% confidence limits for means and forecasts
Log-log price-demand model for CASES_18PK_LN    (1 variable, n=52)</v>
      </c>
    </row>
    <row r="3" spans="1:78" ht="11.25" hidden="1" customHeight="1" outlineLevel="1" x14ac:dyDescent="0.2">
      <c r="A3" s="4" t="s">
        <v>12</v>
      </c>
      <c r="AA3" s="15" t="str">
        <f>IF($A$52 &lt;&gt; "","Actual and predicted -vs- Observation # with " &amp; TEXT($I$10, "0.0%") &amp; " confidence limits
Log-log price-demand model for CASES_18PK_LN    (1 variable, n=52)","Actual and predicted -vs- Observation #
Log-log price-demand model for CASES_18PK_LN    (1 variable, n=52)")</f>
        <v>Actual and predicted -vs- Observation # with 95.0% confidence limits
Log-log price-demand model for CASES_18PK_LN    (1 variable, n=52)</v>
      </c>
    </row>
    <row r="4" spans="1:78" hidden="1" outlineLevel="1" x14ac:dyDescent="0.2">
      <c r="A4" s="3" t="s">
        <v>87</v>
      </c>
    </row>
    <row r="5" spans="1:78" hidden="1" outlineLevel="1" x14ac:dyDescent="0.2">
      <c r="A5" s="4" t="s">
        <v>14</v>
      </c>
    </row>
    <row r="6" spans="1:78" hidden="1" outlineLevel="1" x14ac:dyDescent="0.2">
      <c r="A6" s="3" t="s">
        <v>91</v>
      </c>
    </row>
    <row r="7" spans="1:78" collapsed="1" x14ac:dyDescent="0.2"/>
    <row r="8" spans="1:78" x14ac:dyDescent="0.2">
      <c r="A8" s="5" t="s">
        <v>92</v>
      </c>
    </row>
    <row r="9" spans="1:78" ht="12" outlineLevel="1" thickBot="1" x14ac:dyDescent="0.25">
      <c r="A9" s="6"/>
      <c r="B9" s="7" t="s">
        <v>17</v>
      </c>
      <c r="C9" s="7" t="s">
        <v>18</v>
      </c>
      <c r="D9" s="7" t="s">
        <v>19</v>
      </c>
      <c r="E9" s="7" t="s">
        <v>20</v>
      </c>
      <c r="F9" s="7" t="s">
        <v>21</v>
      </c>
      <c r="G9" s="7" t="s">
        <v>22</v>
      </c>
      <c r="H9" s="7" t="str">
        <f>"t("&amp;TEXT((1-I10)/2,"0.00%") &amp; ",50)"</f>
        <v>t(2.50%,50)</v>
      </c>
      <c r="I9" s="7" t="s">
        <v>23</v>
      </c>
    </row>
    <row r="10" spans="1:78" outlineLevel="1" x14ac:dyDescent="0.2">
      <c r="B10" s="8">
        <f xml:space="preserve"> 1 - C20 / C21</f>
        <v>0.88815178994552935</v>
      </c>
      <c r="C10" s="8">
        <f>1-D10^2/E10^2</f>
        <v>0.88591482574443969</v>
      </c>
      <c r="D10" s="8">
        <f xml:space="preserve"> SQRT(D20)</f>
        <v>0.3558740987453794</v>
      </c>
      <c r="E10" s="8">
        <v>1.0536145884005728</v>
      </c>
      <c r="F10" s="9">
        <v>52</v>
      </c>
      <c r="G10" s="9">
        <v>0</v>
      </c>
      <c r="H10" s="3">
        <f>TINV(1 - $I$10, F10 - 1 - 1)</f>
        <v>2.0085591121007611</v>
      </c>
      <c r="I10" s="10">
        <v>0.95</v>
      </c>
    </row>
    <row r="12" spans="1:78" x14ac:dyDescent="0.2">
      <c r="A12" s="5" t="s">
        <v>93</v>
      </c>
    </row>
    <row r="13" spans="1:78" ht="12" outlineLevel="1" thickBot="1" x14ac:dyDescent="0.25">
      <c r="A13" s="11" t="s">
        <v>25</v>
      </c>
      <c r="B13" s="7" t="s">
        <v>26</v>
      </c>
      <c r="C13" s="7" t="s">
        <v>27</v>
      </c>
      <c r="D13" s="7" t="s">
        <v>28</v>
      </c>
      <c r="E13" s="7" t="s">
        <v>29</v>
      </c>
      <c r="F13" s="7" t="str">
        <f>IF($I$10&gt;99%,("Lower"&amp;TEXT($I$10,"0.0%")),("Lower"&amp;TEXT($I$10,"0%")))</f>
        <v>Lower95%</v>
      </c>
      <c r="G13" s="7" t="str">
        <f>IF($I$10&gt;99%,("Upper"&amp;TEXT($I$10,"0.0%")),("Upper"&amp;TEXT($I$10,"0%")))</f>
        <v>Upper95%</v>
      </c>
      <c r="H13" s="7" t="s">
        <v>20</v>
      </c>
      <c r="I13" s="7" t="s">
        <v>30</v>
      </c>
    </row>
    <row r="14" spans="1:78" outlineLevel="1" x14ac:dyDescent="0.2">
      <c r="A14" s="3" t="s">
        <v>31</v>
      </c>
      <c r="B14" s="8">
        <v>23.831265763115915</v>
      </c>
      <c r="C14" s="8">
        <v>0.94564074878478366</v>
      </c>
      <c r="D14" s="8">
        <f>(B14 - 0) / C14</f>
        <v>25.201183212272532</v>
      </c>
      <c r="E14" s="8">
        <f>TDIST(ABS(D14),$F$10 - 2,2)</f>
        <v>4.4308924631600432E-30</v>
      </c>
      <c r="F14" s="8">
        <f>B14 - TINV(1 - $I$10, $F$10 - 2) * C14</f>
        <v>21.931890420370451</v>
      </c>
      <c r="G14" s="8">
        <f>B14 + TINV(1 - $I$10, $F$10 - 2) * C14</f>
        <v>25.73064110586138</v>
      </c>
    </row>
    <row r="15" spans="1:78" outlineLevel="1" x14ac:dyDescent="0.2">
      <c r="A15" s="3" t="s">
        <v>87</v>
      </c>
      <c r="B15" s="8">
        <v>-6.7052128638697104</v>
      </c>
      <c r="C15" s="8">
        <v>0.33651039844927966</v>
      </c>
      <c r="D15" s="8">
        <f>(B15 - 0) / C15</f>
        <v>-19.925722636711775</v>
      </c>
      <c r="E15" s="8">
        <f>TDIST(ABS(D15),$F$10 - 2,2)</f>
        <v>1.9530813639999946E-25</v>
      </c>
      <c r="F15" s="8">
        <f>B15 - TINV(1 - $I$10, $F$10 - 2) * C15</f>
        <v>-7.3811138909916689</v>
      </c>
      <c r="G15" s="8">
        <f>B15 + TINV(1 - $I$10, $F$10 - 2) * C15</f>
        <v>-6.0293118367477518</v>
      </c>
      <c r="H15" s="8">
        <v>0.14808559117072639</v>
      </c>
      <c r="I15" s="3">
        <f>B15*H15/$E$10</f>
        <v>-0.94241805476425167</v>
      </c>
    </row>
    <row r="17" spans="1:7" x14ac:dyDescent="0.2">
      <c r="A17" s="5" t="s">
        <v>94</v>
      </c>
    </row>
    <row r="18" spans="1:7" ht="12" hidden="1" outlineLevel="1" thickBot="1" x14ac:dyDescent="0.25">
      <c r="A18" s="11" t="s">
        <v>33</v>
      </c>
      <c r="B18" s="7" t="s">
        <v>37</v>
      </c>
      <c r="C18" s="7" t="s">
        <v>38</v>
      </c>
      <c r="D18" s="7" t="s">
        <v>39</v>
      </c>
      <c r="E18" s="7" t="s">
        <v>40</v>
      </c>
      <c r="F18" s="7" t="s">
        <v>29</v>
      </c>
    </row>
    <row r="19" spans="1:7" hidden="1" outlineLevel="1" x14ac:dyDescent="0.2">
      <c r="A19" s="3" t="s">
        <v>34</v>
      </c>
      <c r="B19" s="9">
        <v>1</v>
      </c>
      <c r="C19" s="8">
        <f>C21 - C20</f>
        <v>50.282970037524223</v>
      </c>
      <c r="D19" s="8">
        <f>C19/B19</f>
        <v>50.282970037524223</v>
      </c>
      <c r="E19" s="8">
        <f>D19/D20</f>
        <v>397.03442259513793</v>
      </c>
      <c r="F19" s="8">
        <f>FDIST(E19,1,50)</f>
        <v>1.9530813640032777E-25</v>
      </c>
    </row>
    <row r="20" spans="1:7" hidden="1" outlineLevel="1" x14ac:dyDescent="0.2">
      <c r="A20" s="3" t="s">
        <v>35</v>
      </c>
      <c r="B20" s="9">
        <v>50</v>
      </c>
      <c r="C20" s="8">
        <v>6.3323187078918011</v>
      </c>
      <c r="D20" s="8">
        <f>C20/B20</f>
        <v>0.12664637415783603</v>
      </c>
    </row>
    <row r="21" spans="1:7" hidden="1" outlineLevel="1" x14ac:dyDescent="0.2">
      <c r="A21" s="3" t="s">
        <v>36</v>
      </c>
      <c r="B21" s="9">
        <f>B19 + B20</f>
        <v>51</v>
      </c>
      <c r="C21" s="8">
        <v>56.615288745416024</v>
      </c>
    </row>
    <row r="22" spans="1:7" collapsed="1" x14ac:dyDescent="0.2"/>
    <row r="23" spans="1:7" x14ac:dyDescent="0.2">
      <c r="A23" s="5" t="s">
        <v>41</v>
      </c>
    </row>
    <row r="24" spans="1:7" outlineLevel="1" x14ac:dyDescent="0.2"/>
    <row r="25" spans="1:7" outlineLevel="1" x14ac:dyDescent="0.2">
      <c r="B25" s="13" t="s">
        <v>87</v>
      </c>
      <c r="C25" s="13" t="s">
        <v>42</v>
      </c>
      <c r="D25" s="13" t="s">
        <v>43</v>
      </c>
      <c r="E25" s="13" t="s">
        <v>44</v>
      </c>
      <c r="F25" s="13" t="str">
        <f>IF($I$10&gt;99%,("Lower "&amp;TEXT($I$10,"0.0%")),("Lower "&amp;TEXT($I$10,"0%")))</f>
        <v>Lower 95%</v>
      </c>
      <c r="G25" s="13" t="str">
        <f>IF($I$10&gt;99%,("Upper "&amp;TEXT($I$10,"0.0%")),("Upper "&amp;TEXT($I$10,"0%")))</f>
        <v>Upper 95%</v>
      </c>
    </row>
    <row r="26" spans="1:7" outlineLevel="1" x14ac:dyDescent="0.2">
      <c r="B26" s="13">
        <v>2.5847519847577201</v>
      </c>
      <c r="C26" s="13">
        <f>$D$10/SQRT($F$10)*SQRT(1+(B26- 2.80630886928261)^2/0.0215076241909915)</f>
        <v>8.9409918249504353E-2</v>
      </c>
      <c r="D26" s="13">
        <f>SQRT($D$10^2 + C26^2)</f>
        <v>0.36693392816584719</v>
      </c>
      <c r="E26" s="13">
        <f>23.8312657631159 + -6.70521286386971 * B26</f>
        <v>6.4999535050056707</v>
      </c>
      <c r="F26" s="13">
        <f>E26 - $H$10*D26</f>
        <v>5.7629450200492318</v>
      </c>
      <c r="G26" s="13">
        <f>E26 + $H$10*D26</f>
        <v>7.2369619899621096</v>
      </c>
    </row>
    <row r="27" spans="1:7" outlineLevel="1" x14ac:dyDescent="0.2">
      <c r="B27" s="13">
        <v>2.6811676049607152</v>
      </c>
      <c r="C27" s="13">
        <f>$D$10/SQRT($F$10)*SQRT(1+(B27- 2.80630886928261)^2/0.0215076241909915)</f>
        <v>6.4875818882217134E-2</v>
      </c>
      <c r="D27" s="13">
        <f>SQRT($D$10^2 + C27^2)</f>
        <v>0.36173919615307698</v>
      </c>
      <c r="E27" s="13">
        <f>23.8312657631159 + -6.70521286386971 * B27</f>
        <v>5.8534662481425705</v>
      </c>
      <c r="F27" s="13">
        <f>E27 - $H$10*D27</f>
        <v>5.1268916895053032</v>
      </c>
      <c r="G27" s="13">
        <f>E27 + $H$10*D27</f>
        <v>6.5800408067798379</v>
      </c>
    </row>
    <row r="28" spans="1:7" outlineLevel="1" x14ac:dyDescent="0.2">
      <c r="B28" s="13">
        <v>2.7775832251637098</v>
      </c>
      <c r="C28" s="13">
        <f>$D$10/SQRT($F$10)*SQRT(1+(B28- 2.80630886928261)^2/0.0215076241909915)</f>
        <v>5.0288646743229477E-2</v>
      </c>
      <c r="D28" s="13">
        <f>SQRT($D$10^2 + C28^2)</f>
        <v>0.35940968566400849</v>
      </c>
      <c r="E28" s="13">
        <f>23.8312657631159 + -6.70521286386971 * B28</f>
        <v>5.2069789912794775</v>
      </c>
      <c r="F28" s="13">
        <f>E28 - $H$10*D28</f>
        <v>4.485083392161763</v>
      </c>
      <c r="G28" s="13">
        <f>E28 + $H$10*D28</f>
        <v>5.928874590397192</v>
      </c>
    </row>
    <row r="29" spans="1:7" outlineLevel="1" x14ac:dyDescent="0.2">
      <c r="B29" s="13">
        <v>2.8739988453667049</v>
      </c>
      <c r="C29" s="13">
        <f>$D$10/SQRT($F$10)*SQRT(1+(B29- 2.80630886928261)^2/0.0215076241909915)</f>
        <v>5.4354041508100255E-2</v>
      </c>
      <c r="D29" s="13">
        <f>SQRT($D$10^2 + C29^2)</f>
        <v>0.3600010222014659</v>
      </c>
      <c r="E29" s="13">
        <f>23.8312657631159 + -6.70521286386971 * B29</f>
        <v>4.5604917344163773</v>
      </c>
      <c r="F29" s="13">
        <f>E29 - $H$10*D29</f>
        <v>3.8374084009080347</v>
      </c>
      <c r="G29" s="13">
        <f>E29 + $H$10*D29</f>
        <v>5.28357506792472</v>
      </c>
    </row>
    <row r="30" spans="1:7" outlineLevel="1" x14ac:dyDescent="0.2">
      <c r="B30" s="13">
        <v>2.9704144655697</v>
      </c>
      <c r="C30" s="13">
        <f>$D$10/SQRT($F$10)*SQRT(1+(B30- 2.80630886928261)^2/0.0215076241909915)</f>
        <v>7.4061551338296561E-2</v>
      </c>
      <c r="D30" s="13">
        <f>SQRT($D$10^2 + C30^2)</f>
        <v>0.36349895122884629</v>
      </c>
      <c r="E30" s="13">
        <f>23.8312657631159 + -6.70521286386971 * B30</f>
        <v>3.9140044775532772</v>
      </c>
      <c r="F30" s="13">
        <f>E30 - $H$10*D30</f>
        <v>3.1838953468235078</v>
      </c>
      <c r="G30" s="13">
        <f>E30 + $H$10*D30</f>
        <v>4.6441136082830461</v>
      </c>
    </row>
    <row r="31" spans="1:7" outlineLevel="1" x14ac:dyDescent="0.2"/>
    <row r="32" spans="1:7" outlineLevel="1" x14ac:dyDescent="0.2"/>
    <row r="33" spans="1:6" outlineLevel="1" x14ac:dyDescent="0.2"/>
    <row r="34" spans="1:6" outlineLevel="1" x14ac:dyDescent="0.2"/>
    <row r="35" spans="1:6" outlineLevel="1" x14ac:dyDescent="0.2"/>
    <row r="36" spans="1:6" outlineLevel="1" x14ac:dyDescent="0.2"/>
    <row r="37" spans="1:6" outlineLevel="1" x14ac:dyDescent="0.2"/>
    <row r="38" spans="1:6" outlineLevel="1" x14ac:dyDescent="0.2"/>
    <row r="39" spans="1:6" outlineLevel="1" x14ac:dyDescent="0.2"/>
    <row r="40" spans="1:6" outlineLevel="1" x14ac:dyDescent="0.2"/>
    <row r="41" spans="1:6" outlineLevel="1" x14ac:dyDescent="0.2"/>
    <row r="42" spans="1:6" outlineLevel="1" x14ac:dyDescent="0.2"/>
    <row r="43" spans="1:6" outlineLevel="1" x14ac:dyDescent="0.2"/>
    <row r="45" spans="1:6" x14ac:dyDescent="0.2">
      <c r="A45" s="5" t="s">
        <v>95</v>
      </c>
    </row>
    <row r="46" spans="1:6" ht="12" outlineLevel="1" thickBot="1" x14ac:dyDescent="0.25">
      <c r="A46" s="7" t="s">
        <v>46</v>
      </c>
      <c r="B46" s="7" t="s">
        <v>47</v>
      </c>
      <c r="C46" s="7" t="s">
        <v>48</v>
      </c>
      <c r="D46" s="7" t="s">
        <v>29</v>
      </c>
      <c r="E46" s="7" t="s">
        <v>50</v>
      </c>
      <c r="F46" s="7" t="s">
        <v>51</v>
      </c>
    </row>
    <row r="47" spans="1:6" outlineLevel="1" x14ac:dyDescent="0.2">
      <c r="A47" s="9">
        <v>26</v>
      </c>
      <c r="B47" s="9">
        <v>26</v>
      </c>
      <c r="C47" s="3">
        <v>0.33476154298732841</v>
      </c>
      <c r="D47" s="3">
        <v>0.50762487217821217</v>
      </c>
      <c r="E47" s="8">
        <v>-2.5251107899774654</v>
      </c>
      <c r="F47" s="8">
        <v>1.6714985509693081</v>
      </c>
    </row>
    <row r="48" spans="1:6" outlineLevel="1" x14ac:dyDescent="0.2">
      <c r="A48" s="3" t="s">
        <v>49</v>
      </c>
    </row>
    <row r="50" spans="1:85" x14ac:dyDescent="0.2">
      <c r="A50" s="5" t="s">
        <v>96</v>
      </c>
      <c r="N50" s="22" t="s">
        <v>81</v>
      </c>
    </row>
    <row r="51" spans="1:85" ht="12" outlineLevel="1" thickBot="1" x14ac:dyDescent="0.25">
      <c r="A51" s="7" t="s">
        <v>53</v>
      </c>
      <c r="B51" s="7" t="s">
        <v>54</v>
      </c>
      <c r="C51" s="7" t="s">
        <v>55</v>
      </c>
      <c r="D51" s="7" t="str">
        <f>IF($I$10&gt;99%,("Low"&amp;TEXT($I$10,"0.0%")&amp;"F"),("Lower"&amp;TEXT($I$10,"0%")&amp;"F"))</f>
        <v>Lower95%F</v>
      </c>
      <c r="E51" s="7" t="str">
        <f>IF($I$10&gt;99%,("Up"&amp;TEXT($I$10,"0.0%")&amp;"F"),("Upper"&amp;TEXT($I$10,"0%")&amp;"F"))</f>
        <v>Upper95%F</v>
      </c>
      <c r="F51" s="7" t="s">
        <v>56</v>
      </c>
      <c r="G51" s="7" t="str">
        <f>IF($I$10&gt;99%,("Low"&amp;TEXT($I$10,"0.0%")&amp;"M"),("Lower"&amp;TEXT($I$10,"0%")&amp;"M"))</f>
        <v>Lower95%M</v>
      </c>
      <c r="H51" s="7" t="str">
        <f>IF($I$10&gt;99%,("Up"&amp;TEXT($I$10,"0.0%")&amp;"M"),("Upper"&amp;TEXT($I$10,"0%")&amp;"M"))</f>
        <v>Upper95%M</v>
      </c>
      <c r="I51" s="11" t="s">
        <v>97</v>
      </c>
      <c r="N51" s="34" t="s">
        <v>13</v>
      </c>
      <c r="O51" s="34" t="s">
        <v>54</v>
      </c>
      <c r="P51" s="34" t="str">
        <f>IF($I$10&gt;99%,("Low"&amp;TEXT($I$10,"0.0%")&amp;"F"),("Lower"&amp;TEXT($I$10,"0%")&amp;"F"))</f>
        <v>Lower95%F</v>
      </c>
      <c r="Q51" s="34" t="str">
        <f>IF($I$10&gt;99%,("Up"&amp;TEXT($I$10,"0.0%")&amp;"F"),("Upper"&amp;TEXT($I$10,"0%")&amp;"F"))</f>
        <v>Upper95%F</v>
      </c>
      <c r="R51" s="34" t="s">
        <v>64</v>
      </c>
    </row>
    <row r="52" spans="1:85" outlineLevel="1" x14ac:dyDescent="0.2">
      <c r="A52" s="9">
        <v>53</v>
      </c>
      <c r="B52" s="3">
        <v>6.632734336290472</v>
      </c>
      <c r="C52" s="8">
        <f t="shared" ref="C52:C66" si="0">SQRT($D$10^2 + F52^2)</f>
        <v>0.36834571722305903</v>
      </c>
      <c r="D52" s="8">
        <f t="shared" ref="D52:D66" si="1" xml:space="preserve"> B52 - $H$10 * C52</f>
        <v>5.8928901895588064</v>
      </c>
      <c r="E52" s="8">
        <f t="shared" ref="E52:E66" si="2" xml:space="preserve"> B52 + $H$10 * C52</f>
        <v>7.3725784830221377</v>
      </c>
      <c r="F52" s="8">
        <f t="shared" ref="F52:F66" si="3">$D$10/SQRT($F$10)*SQRT(1+(I52- 2.80630886928261)^2/0.0215076241909917)</f>
        <v>9.5037851610469876E-2</v>
      </c>
      <c r="G52" s="8">
        <f t="shared" ref="G52:G66" si="4" xml:space="preserve"> B52 - $H$10 * F52</f>
        <v>6.4418451934437826</v>
      </c>
      <c r="H52" s="8">
        <f t="shared" ref="H52:H66" si="5" xml:space="preserve"> B52 + $H$10 * F52</f>
        <v>6.8236234791371615</v>
      </c>
      <c r="I52" s="50">
        <f>LN(N52)</f>
        <v>2.5649493574615367</v>
      </c>
      <c r="J52" s="14"/>
      <c r="N52" s="40">
        <v>13</v>
      </c>
      <c r="O52" s="36">
        <f>EXP(B52)</f>
        <v>759.55621590676606</v>
      </c>
      <c r="P52" s="36">
        <f>EXP(D52)</f>
        <v>362.45132505145233</v>
      </c>
      <c r="Q52" s="36">
        <f>EXP(E52)</f>
        <v>1591.7327520894219</v>
      </c>
      <c r="R52" s="28"/>
      <c r="CG52" s="3">
        <f xml:space="preserve"> $C$52 * $H$10</f>
        <v>0.73984414673166543</v>
      </c>
    </row>
    <row r="53" spans="1:85" outlineLevel="1" x14ac:dyDescent="0.2">
      <c r="A53" s="9">
        <v>54</v>
      </c>
      <c r="B53" s="3">
        <v>6.379677403613222</v>
      </c>
      <c r="C53" s="8">
        <f t="shared" si="0"/>
        <v>0.36575520230063113</v>
      </c>
      <c r="D53" s="8">
        <f t="shared" si="1"/>
        <v>5.6450364592340323</v>
      </c>
      <c r="E53" s="8">
        <f t="shared" si="2"/>
        <v>7.1143183479924117</v>
      </c>
      <c r="F53" s="8">
        <f t="shared" si="3"/>
        <v>8.4442251581418507E-2</v>
      </c>
      <c r="G53" s="8">
        <f t="shared" si="4"/>
        <v>6.2100701497530588</v>
      </c>
      <c r="H53" s="8">
        <f t="shared" si="5"/>
        <v>6.5492846574733852</v>
      </c>
      <c r="I53" s="50">
        <f t="shared" ref="I53:I66" si="6">LN(N53)</f>
        <v>2.6026896854443837</v>
      </c>
      <c r="J53" s="14"/>
      <c r="N53" s="41">
        <v>13.5</v>
      </c>
      <c r="O53" s="37">
        <f t="shared" ref="O53:O66" si="7">EXP(B53)</f>
        <v>589.73742980464215</v>
      </c>
      <c r="P53" s="37">
        <f t="shared" ref="P53:P66" si="8">EXP(D53)</f>
        <v>282.88386976397982</v>
      </c>
      <c r="Q53" s="37">
        <f t="shared" ref="Q53:Q66" si="9">EXP(E53)</f>
        <v>1229.4452716684025</v>
      </c>
      <c r="R53" s="30"/>
      <c r="CG53" s="3">
        <f xml:space="preserve"> $C$53 * $H$10</f>
        <v>0.73464094437918992</v>
      </c>
    </row>
    <row r="54" spans="1:85" outlineLevel="1" x14ac:dyDescent="0.2">
      <c r="A54" s="9">
        <v>55</v>
      </c>
      <c r="B54" s="3">
        <v>6.13582460809004</v>
      </c>
      <c r="C54" s="8">
        <f t="shared" si="0"/>
        <v>0.36366128694612598</v>
      </c>
      <c r="D54" s="8">
        <f t="shared" si="1"/>
        <v>5.4053894164761092</v>
      </c>
      <c r="E54" s="8">
        <f t="shared" si="2"/>
        <v>6.8662597997039709</v>
      </c>
      <c r="F54" s="8">
        <f t="shared" si="3"/>
        <v>7.4854241466175808E-2</v>
      </c>
      <c r="G54" s="8">
        <f t="shared" si="4"/>
        <v>5.9854754393137624</v>
      </c>
      <c r="H54" s="8">
        <f t="shared" si="5"/>
        <v>6.2861737768663177</v>
      </c>
      <c r="I54" s="50">
        <f t="shared" si="6"/>
        <v>2.6390573296152584</v>
      </c>
      <c r="J54" s="14"/>
      <c r="N54" s="41">
        <v>14</v>
      </c>
      <c r="O54" s="37">
        <f t="shared" si="7"/>
        <v>462.12000484080971</v>
      </c>
      <c r="P54" s="37">
        <f t="shared" si="8"/>
        <v>222.60288884022148</v>
      </c>
      <c r="Q54" s="37">
        <f t="shared" si="9"/>
        <v>959.35367230276199</v>
      </c>
      <c r="R54" s="30"/>
      <c r="CG54" s="3">
        <f xml:space="preserve"> $C$54 * $H$10</f>
        <v>0.73043519161393089</v>
      </c>
    </row>
    <row r="55" spans="1:85" outlineLevel="1" x14ac:dyDescent="0.2">
      <c r="A55" s="9">
        <v>56</v>
      </c>
      <c r="B55" s="3">
        <v>5.9005298390813437</v>
      </c>
      <c r="C55" s="8">
        <f t="shared" si="0"/>
        <v>0.36202176000941755</v>
      </c>
      <c r="D55" s="8">
        <f t="shared" si="1"/>
        <v>5.1733877342356731</v>
      </c>
      <c r="E55" s="8">
        <f t="shared" si="2"/>
        <v>6.6276719439270142</v>
      </c>
      <c r="F55" s="8">
        <f t="shared" si="3"/>
        <v>6.6433279028512801E-2</v>
      </c>
      <c r="G55" s="8">
        <f t="shared" si="4"/>
        <v>5.7670946711418916</v>
      </c>
      <c r="H55" s="8">
        <f t="shared" si="5"/>
        <v>6.0339650070207957</v>
      </c>
      <c r="I55" s="50">
        <f t="shared" si="6"/>
        <v>2.6741486494265287</v>
      </c>
      <c r="J55" s="14"/>
      <c r="N55" s="41">
        <v>14.5</v>
      </c>
      <c r="O55" s="37">
        <f t="shared" si="7"/>
        <v>365.23093022939332</v>
      </c>
      <c r="P55" s="37">
        <f t="shared" si="8"/>
        <v>176.51180080718373</v>
      </c>
      <c r="Q55" s="37">
        <f t="shared" si="9"/>
        <v>755.72076080025499</v>
      </c>
      <c r="R55" s="30"/>
      <c r="CG55" s="3">
        <f xml:space="preserve"> $C$55 * $H$10</f>
        <v>0.72714210484567054</v>
      </c>
    </row>
    <row r="56" spans="1:85" outlineLevel="1" x14ac:dyDescent="0.2">
      <c r="A56" s="9">
        <v>57</v>
      </c>
      <c r="B56" s="3">
        <v>5.6732127186804213</v>
      </c>
      <c r="C56" s="8">
        <f t="shared" si="0"/>
        <v>0.36079797641167599</v>
      </c>
      <c r="D56" s="8">
        <f t="shared" si="1"/>
        <v>4.9485286555312342</v>
      </c>
      <c r="E56" s="8">
        <f t="shared" si="2"/>
        <v>6.3978967818296084</v>
      </c>
      <c r="F56" s="8">
        <f t="shared" si="3"/>
        <v>5.9403750933120864E-2</v>
      </c>
      <c r="G56" s="8">
        <f t="shared" si="4"/>
        <v>5.5538967734507372</v>
      </c>
      <c r="H56" s="8">
        <f t="shared" si="5"/>
        <v>5.7925286639101055</v>
      </c>
      <c r="I56" s="50">
        <f t="shared" si="6"/>
        <v>2.7080502011022101</v>
      </c>
      <c r="J56" s="14"/>
      <c r="N56" s="41">
        <v>15</v>
      </c>
      <c r="O56" s="37">
        <f t="shared" si="7"/>
        <v>290.96783216718376</v>
      </c>
      <c r="P56" s="37">
        <f t="shared" si="8"/>
        <v>140.96739965589535</v>
      </c>
      <c r="Q56" s="37">
        <f t="shared" si="9"/>
        <v>600.58055665872371</v>
      </c>
      <c r="R56" s="30"/>
      <c r="CG56" s="3">
        <f xml:space="preserve"> $C$56 * $H$10</f>
        <v>0.72468406314918732</v>
      </c>
    </row>
    <row r="57" spans="1:85" outlineLevel="1" x14ac:dyDescent="0.2">
      <c r="A57" s="9">
        <v>58</v>
      </c>
      <c r="B57" s="3">
        <v>5.4533499768836933</v>
      </c>
      <c r="C57" s="8">
        <f t="shared" si="0"/>
        <v>0.35995450266575207</v>
      </c>
      <c r="D57" s="8">
        <f t="shared" si="1"/>
        <v>4.7303600806126989</v>
      </c>
      <c r="E57" s="8">
        <f t="shared" si="2"/>
        <v>6.1763398731546877</v>
      </c>
      <c r="F57" s="8">
        <f t="shared" si="3"/>
        <v>5.4045072222292878E-2</v>
      </c>
      <c r="G57" s="8">
        <f t="shared" si="4"/>
        <v>5.3447972546074629</v>
      </c>
      <c r="H57" s="8">
        <f t="shared" si="5"/>
        <v>5.5619026991599236</v>
      </c>
      <c r="I57" s="50">
        <f t="shared" si="6"/>
        <v>2.7408400239252009</v>
      </c>
      <c r="J57" s="14"/>
      <c r="N57" s="41">
        <v>15.5</v>
      </c>
      <c r="O57" s="37">
        <f t="shared" si="7"/>
        <v>233.53920788880782</v>
      </c>
      <c r="P57" s="37">
        <f t="shared" si="8"/>
        <v>113.3363652298888</v>
      </c>
      <c r="Q57" s="37">
        <f t="shared" si="9"/>
        <v>481.22737579154773</v>
      </c>
      <c r="R57" s="30"/>
      <c r="CG57" s="3">
        <f xml:space="preserve"> $C$57 * $H$10</f>
        <v>0.72298989627099408</v>
      </c>
    </row>
    <row r="58" spans="1:85" outlineLevel="1" x14ac:dyDescent="0.2">
      <c r="A58" s="9">
        <v>59</v>
      </c>
      <c r="B58" s="3">
        <v>5.2404681965336515</v>
      </c>
      <c r="C58" s="8">
        <f t="shared" si="0"/>
        <v>0.35945881523449957</v>
      </c>
      <c r="D58" s="8">
        <f t="shared" si="1"/>
        <v>4.5184739177694535</v>
      </c>
      <c r="E58" s="8">
        <f t="shared" si="2"/>
        <v>5.9624624752978495</v>
      </c>
      <c r="F58" s="8">
        <f t="shared" si="3"/>
        <v>5.0638579087036534E-2</v>
      </c>
      <c r="G58" s="8">
        <f t="shared" si="4"/>
        <v>5.1387576170845488</v>
      </c>
      <c r="H58" s="8">
        <f t="shared" si="5"/>
        <v>5.3421787759827541</v>
      </c>
      <c r="I58" s="50">
        <f t="shared" si="6"/>
        <v>2.7725887222397811</v>
      </c>
      <c r="J58" s="14"/>
      <c r="N58" s="41">
        <v>16</v>
      </c>
      <c r="O58" s="37">
        <f t="shared" si="7"/>
        <v>188.75845777584095</v>
      </c>
      <c r="P58" s="37">
        <f t="shared" si="8"/>
        <v>91.695556188772784</v>
      </c>
      <c r="Q58" s="37">
        <f t="shared" si="9"/>
        <v>388.5657807512863</v>
      </c>
      <c r="R58" s="30"/>
      <c r="CG58" s="3">
        <f xml:space="preserve"> $C$58 * $H$10</f>
        <v>0.72199427876419797</v>
      </c>
    </row>
    <row r="59" spans="1:85" outlineLevel="1" x14ac:dyDescent="0.2">
      <c r="A59" s="9">
        <v>60</v>
      </c>
      <c r="B59" s="3">
        <v>5.0341376749987283</v>
      </c>
      <c r="C59" s="8">
        <f t="shared" si="0"/>
        <v>0.3592810401455418</v>
      </c>
      <c r="D59" s="8">
        <f t="shared" si="1"/>
        <v>4.312500468009361</v>
      </c>
      <c r="E59" s="8">
        <f t="shared" si="2"/>
        <v>5.7557748819880956</v>
      </c>
      <c r="F59" s="8">
        <f t="shared" si="3"/>
        <v>4.936083113386918E-2</v>
      </c>
      <c r="G59" s="8">
        <f t="shared" si="4"/>
        <v>4.9349935278439281</v>
      </c>
      <c r="H59" s="8">
        <f t="shared" si="5"/>
        <v>5.1332818221535286</v>
      </c>
      <c r="I59" s="50">
        <f t="shared" si="6"/>
        <v>2.8033603809065348</v>
      </c>
      <c r="J59" s="14"/>
      <c r="N59" s="41">
        <v>16.5</v>
      </c>
      <c r="O59" s="37">
        <f t="shared" si="7"/>
        <v>153.56711073987279</v>
      </c>
      <c r="P59" s="37">
        <f t="shared" si="8"/>
        <v>74.626857909260821</v>
      </c>
      <c r="Q59" s="37">
        <f t="shared" si="9"/>
        <v>316.01032338339729</v>
      </c>
      <c r="R59" s="30"/>
      <c r="CG59" s="3">
        <f xml:space="preserve"> $C$59 * $H$10</f>
        <v>0.72163720698936729</v>
      </c>
    </row>
    <row r="60" spans="1:85" outlineLevel="1" x14ac:dyDescent="0.2">
      <c r="A60" s="9">
        <v>61</v>
      </c>
      <c r="B60" s="3">
        <v>4.8339672024628548</v>
      </c>
      <c r="C60" s="8">
        <f t="shared" si="0"/>
        <v>0.35939372513918377</v>
      </c>
      <c r="D60" s="8">
        <f t="shared" si="1"/>
        <v>4.1121036610027106</v>
      </c>
      <c r="E60" s="8">
        <f t="shared" si="2"/>
        <v>5.555830743922999</v>
      </c>
      <c r="F60" s="8">
        <f t="shared" si="3"/>
        <v>5.0174450785066778E-2</v>
      </c>
      <c r="G60" s="8">
        <f t="shared" si="4"/>
        <v>4.7331888521438579</v>
      </c>
      <c r="H60" s="8">
        <f t="shared" si="5"/>
        <v>4.9347455527818518</v>
      </c>
      <c r="I60" s="50">
        <f t="shared" si="6"/>
        <v>2.8332133440562162</v>
      </c>
      <c r="J60" s="14"/>
      <c r="N60" s="41">
        <v>17</v>
      </c>
      <c r="O60" s="37">
        <f t="shared" si="7"/>
        <v>125.70868451912794</v>
      </c>
      <c r="P60" s="37">
        <f t="shared" si="8"/>
        <v>61.075063753715988</v>
      </c>
      <c r="Q60" s="37">
        <f t="shared" si="9"/>
        <v>258.74182345930268</v>
      </c>
      <c r="R60" s="30"/>
      <c r="CG60" s="3">
        <f xml:space="preserve"> $C$60 * $H$10</f>
        <v>0.72186354146014398</v>
      </c>
    </row>
    <row r="61" spans="1:85" outlineLevel="1" x14ac:dyDescent="0.2">
      <c r="A61" s="9">
        <v>62</v>
      </c>
      <c r="B61" s="3">
        <v>4.6395995973284272</v>
      </c>
      <c r="C61" s="8">
        <f t="shared" si="0"/>
        <v>0.35977163779547983</v>
      </c>
      <c r="D61" s="8">
        <f t="shared" si="1"/>
        <v>3.9169769959589016</v>
      </c>
      <c r="E61" s="8">
        <f t="shared" si="2"/>
        <v>5.3622221986979532</v>
      </c>
      <c r="F61" s="8">
        <f t="shared" si="3"/>
        <v>5.2813418789223306E-2</v>
      </c>
      <c r="G61" s="8">
        <f t="shared" si="4"/>
        <v>4.533520723778139</v>
      </c>
      <c r="H61" s="8">
        <f t="shared" si="5"/>
        <v>4.7456784708787154</v>
      </c>
      <c r="I61" s="50">
        <f t="shared" si="6"/>
        <v>2.8622008809294686</v>
      </c>
      <c r="J61" s="14"/>
      <c r="N61" s="41">
        <v>17.5</v>
      </c>
      <c r="O61" s="37">
        <f t="shared" si="7"/>
        <v>103.50289644900869</v>
      </c>
      <c r="P61" s="37">
        <f t="shared" si="8"/>
        <v>50.24831409152285</v>
      </c>
      <c r="Q61" s="37">
        <f t="shared" si="9"/>
        <v>213.19818917350565</v>
      </c>
      <c r="R61" s="30"/>
      <c r="CG61" s="3">
        <f xml:space="preserve"> $C$61 * $H$10</f>
        <v>0.72262260136952561</v>
      </c>
    </row>
    <row r="62" spans="1:85" outlineLevel="1" x14ac:dyDescent="0.2">
      <c r="A62" s="9">
        <v>63</v>
      </c>
      <c r="B62" s="3">
        <v>4.4507078707048464</v>
      </c>
      <c r="C62" s="8">
        <f t="shared" si="0"/>
        <v>0.36039158472688881</v>
      </c>
      <c r="D62" s="8">
        <f t="shared" si="1"/>
        <v>3.7268400692772206</v>
      </c>
      <c r="E62" s="8">
        <f t="shared" si="2"/>
        <v>5.1745756721324723</v>
      </c>
      <c r="F62" s="8">
        <f t="shared" si="3"/>
        <v>5.6883391109551866E-2</v>
      </c>
      <c r="G62" s="8">
        <f t="shared" si="4"/>
        <v>4.3364542171645644</v>
      </c>
      <c r="H62" s="8">
        <f t="shared" si="5"/>
        <v>4.5649615242451285</v>
      </c>
      <c r="I62" s="50">
        <f t="shared" si="6"/>
        <v>2.8903717578961645</v>
      </c>
      <c r="J62" s="14"/>
      <c r="N62" s="41">
        <v>18</v>
      </c>
      <c r="O62" s="37">
        <f t="shared" si="7"/>
        <v>85.687578265482713</v>
      </c>
      <c r="P62" s="37">
        <f t="shared" si="8"/>
        <v>41.547612936964427</v>
      </c>
      <c r="Q62" s="37">
        <f t="shared" si="9"/>
        <v>176.72161046034037</v>
      </c>
      <c r="R62" s="30"/>
      <c r="CG62" s="3">
        <f xml:space="preserve"> $C$62 * $H$10</f>
        <v>0.72386780142762597</v>
      </c>
    </row>
    <row r="63" spans="1:85" outlineLevel="1" x14ac:dyDescent="0.2">
      <c r="A63" s="9">
        <v>64</v>
      </c>
      <c r="B63" s="3">
        <v>4.2669919165218673</v>
      </c>
      <c r="C63" s="8">
        <f t="shared" si="0"/>
        <v>0.3612322481564253</v>
      </c>
      <c r="D63" s="8">
        <f t="shared" si="1"/>
        <v>3.5414355929026358</v>
      </c>
      <c r="E63" s="8">
        <f t="shared" si="2"/>
        <v>4.9925482401410983</v>
      </c>
      <c r="F63" s="8">
        <f t="shared" si="3"/>
        <v>6.1986796580474644E-2</v>
      </c>
      <c r="G63" s="8">
        <f t="shared" si="4"/>
        <v>4.1424877714202184</v>
      </c>
      <c r="H63" s="8">
        <f t="shared" si="5"/>
        <v>4.3914960616235161</v>
      </c>
      <c r="I63" s="50">
        <f t="shared" si="6"/>
        <v>2.917770732084279</v>
      </c>
      <c r="J63" s="14"/>
      <c r="N63" s="41">
        <v>18.5</v>
      </c>
      <c r="O63" s="37">
        <f t="shared" si="7"/>
        <v>71.30681582869957</v>
      </c>
      <c r="P63" s="37">
        <f t="shared" si="8"/>
        <v>34.516435189327417</v>
      </c>
      <c r="Q63" s="37">
        <f t="shared" si="9"/>
        <v>147.3113302615987</v>
      </c>
      <c r="R63" s="30"/>
      <c r="CG63" s="3">
        <f xml:space="preserve"> $C$63 * $H$10</f>
        <v>0.72555632361923139</v>
      </c>
    </row>
    <row r="64" spans="1:85" outlineLevel="1" x14ac:dyDescent="0.2">
      <c r="A64" s="9">
        <v>65</v>
      </c>
      <c r="B64" s="3">
        <v>4.0881756431297021</v>
      </c>
      <c r="C64" s="8">
        <f t="shared" si="0"/>
        <v>0.3622740371219671</v>
      </c>
      <c r="D64" s="8">
        <f t="shared" si="1"/>
        <v>3.3605268247908455</v>
      </c>
      <c r="E64" s="8">
        <f t="shared" si="2"/>
        <v>4.8158244614685586</v>
      </c>
      <c r="F64" s="8">
        <f t="shared" si="3"/>
        <v>6.7794570688310421E-2</v>
      </c>
      <c r="G64" s="8">
        <f t="shared" si="4"/>
        <v>3.9520062404227372</v>
      </c>
      <c r="H64" s="8">
        <f t="shared" si="5"/>
        <v>4.2243450458366674</v>
      </c>
      <c r="I64" s="50">
        <f t="shared" si="6"/>
        <v>2.9444389791664403</v>
      </c>
      <c r="J64" s="14"/>
      <c r="N64" s="41">
        <v>19</v>
      </c>
      <c r="O64" s="37">
        <f t="shared" si="7"/>
        <v>59.631004177338362</v>
      </c>
      <c r="P64" s="37">
        <f t="shared" si="8"/>
        <v>28.804361734546699</v>
      </c>
      <c r="Q64" s="37">
        <f t="shared" si="9"/>
        <v>123.44854893739948</v>
      </c>
      <c r="R64" s="30"/>
      <c r="CG64" s="3">
        <f xml:space="preserve"> $C$64 * $H$10</f>
        <v>0.72764881833885642</v>
      </c>
    </row>
    <row r="65" spans="1:85" outlineLevel="1" x14ac:dyDescent="0.2">
      <c r="A65" s="9">
        <v>66</v>
      </c>
      <c r="B65" s="3">
        <v>3.9140044775532878</v>
      </c>
      <c r="C65" s="8">
        <f t="shared" si="0"/>
        <v>0.36349895122884635</v>
      </c>
      <c r="D65" s="8">
        <f t="shared" si="1"/>
        <v>3.1838953468235185</v>
      </c>
      <c r="E65" s="8">
        <f t="shared" si="2"/>
        <v>4.6441136082830576</v>
      </c>
      <c r="F65" s="8">
        <f t="shared" si="3"/>
        <v>7.4061551338296588E-2</v>
      </c>
      <c r="G65" s="8">
        <f t="shared" si="4"/>
        <v>3.7652474737564341</v>
      </c>
      <c r="H65" s="8">
        <f t="shared" si="5"/>
        <v>4.062761481350142</v>
      </c>
      <c r="I65" s="50">
        <f t="shared" si="6"/>
        <v>2.9704144655697009</v>
      </c>
      <c r="J65" s="14"/>
      <c r="N65" s="41">
        <v>19.5</v>
      </c>
      <c r="O65" s="37">
        <f t="shared" si="7"/>
        <v>50.099171826914777</v>
      </c>
      <c r="P65" s="37">
        <f t="shared" si="8"/>
        <v>24.140606673683944</v>
      </c>
      <c r="Q65" s="37">
        <f t="shared" si="9"/>
        <v>103.97116574865714</v>
      </c>
      <c r="R65" s="30"/>
      <c r="CG65" s="3">
        <f xml:space="preserve"> $C$65 * $H$10</f>
        <v>0.73010913072976946</v>
      </c>
    </row>
    <row r="66" spans="1:85" outlineLevel="1" x14ac:dyDescent="0.2">
      <c r="A66" s="9">
        <v>67</v>
      </c>
      <c r="B66" s="3">
        <v>3.7442431857720422</v>
      </c>
      <c r="C66" s="8">
        <f t="shared" si="0"/>
        <v>0.36489045537248371</v>
      </c>
      <c r="D66" s="8">
        <f t="shared" si="1"/>
        <v>3.0113391367150442</v>
      </c>
      <c r="E66" s="8">
        <f t="shared" si="2"/>
        <v>4.4771472348290402</v>
      </c>
      <c r="F66" s="8">
        <f t="shared" si="3"/>
        <v>8.0614330389220903E-2</v>
      </c>
      <c r="G66" s="8">
        <f t="shared" si="4"/>
        <v>3.5823245379028714</v>
      </c>
      <c r="H66" s="8">
        <f t="shared" si="5"/>
        <v>3.9061618336412129</v>
      </c>
      <c r="I66" s="50">
        <f t="shared" si="6"/>
        <v>2.9957322735539909</v>
      </c>
      <c r="J66" s="14"/>
      <c r="N66" s="42">
        <v>20</v>
      </c>
      <c r="O66" s="38">
        <f t="shared" si="7"/>
        <v>42.276999273765703</v>
      </c>
      <c r="P66" s="38">
        <f t="shared" si="8"/>
        <v>20.314585726022919</v>
      </c>
      <c r="Q66" s="38">
        <f t="shared" si="9"/>
        <v>87.983318572152953</v>
      </c>
      <c r="R66" s="39"/>
      <c r="CG66" s="3">
        <f xml:space="preserve"> $C$66 * $H$10</f>
        <v>0.73290404905699824</v>
      </c>
    </row>
    <row r="67" spans="1:85" outlineLevel="1" x14ac:dyDescent="0.2">
      <c r="N67" s="46">
        <v>14.1</v>
      </c>
      <c r="O67" s="27"/>
      <c r="P67" s="27"/>
      <c r="Q67" s="27"/>
      <c r="R67" s="35">
        <v>439</v>
      </c>
      <c r="S67" s="3" t="s">
        <v>82</v>
      </c>
    </row>
    <row r="68" spans="1:85" outlineLevel="1" x14ac:dyDescent="0.2">
      <c r="N68" s="47">
        <v>18.649999999999999</v>
      </c>
      <c r="O68" s="29"/>
      <c r="P68" s="29"/>
      <c r="Q68" s="29"/>
      <c r="R68" s="31">
        <v>98</v>
      </c>
    </row>
    <row r="69" spans="1:85" outlineLevel="1" x14ac:dyDescent="0.2">
      <c r="N69" s="47">
        <v>18.649999999999999</v>
      </c>
      <c r="O69" s="29"/>
      <c r="P69" s="29"/>
      <c r="Q69" s="29"/>
      <c r="R69" s="31">
        <v>70</v>
      </c>
    </row>
    <row r="70" spans="1:85" outlineLevel="1" x14ac:dyDescent="0.2">
      <c r="N70" s="47">
        <v>18.649999999999999</v>
      </c>
      <c r="O70" s="29"/>
      <c r="P70" s="29"/>
      <c r="Q70" s="29"/>
      <c r="R70" s="31">
        <v>52</v>
      </c>
    </row>
    <row r="71" spans="1:85" outlineLevel="1" x14ac:dyDescent="0.2">
      <c r="N71" s="47">
        <v>18.649999999999999</v>
      </c>
      <c r="O71" s="29"/>
      <c r="P71" s="29"/>
      <c r="Q71" s="29"/>
      <c r="R71" s="31">
        <v>64</v>
      </c>
    </row>
    <row r="72" spans="1:85" outlineLevel="1" x14ac:dyDescent="0.2">
      <c r="N72" s="47">
        <v>18.649999999999999</v>
      </c>
      <c r="O72" s="29"/>
      <c r="P72" s="29"/>
      <c r="Q72" s="29"/>
      <c r="R72" s="31">
        <v>72</v>
      </c>
    </row>
    <row r="73" spans="1:85" outlineLevel="1" x14ac:dyDescent="0.2">
      <c r="N73" s="47">
        <v>18.649999999999999</v>
      </c>
      <c r="O73" s="29"/>
      <c r="P73" s="29"/>
      <c r="Q73" s="29"/>
      <c r="R73" s="31">
        <v>47</v>
      </c>
    </row>
    <row r="74" spans="1:85" outlineLevel="1" x14ac:dyDescent="0.2">
      <c r="N74" s="47">
        <v>18.73</v>
      </c>
      <c r="O74" s="29"/>
      <c r="P74" s="29"/>
      <c r="Q74" s="29"/>
      <c r="R74" s="31">
        <v>85</v>
      </c>
    </row>
    <row r="75" spans="1:85" outlineLevel="1" x14ac:dyDescent="0.2">
      <c r="N75" s="47">
        <v>18.75</v>
      </c>
      <c r="O75" s="29"/>
      <c r="P75" s="29"/>
      <c r="Q75" s="29"/>
      <c r="R75" s="31">
        <v>59</v>
      </c>
    </row>
    <row r="76" spans="1:85" outlineLevel="1" x14ac:dyDescent="0.2">
      <c r="N76" s="47">
        <v>18.75</v>
      </c>
      <c r="O76" s="29"/>
      <c r="P76" s="29"/>
      <c r="Q76" s="29"/>
      <c r="R76" s="31">
        <v>63</v>
      </c>
    </row>
    <row r="77" spans="1:85" x14ac:dyDescent="0.2">
      <c r="N77" s="47">
        <v>18.75</v>
      </c>
      <c r="O77" s="29"/>
      <c r="P77" s="29"/>
      <c r="Q77" s="29"/>
      <c r="R77" s="31">
        <v>57</v>
      </c>
    </row>
    <row r="78" spans="1:85" x14ac:dyDescent="0.2">
      <c r="A78" s="5" t="s">
        <v>58</v>
      </c>
      <c r="N78" s="47">
        <v>18.75</v>
      </c>
      <c r="O78" s="29"/>
      <c r="P78" s="29"/>
      <c r="Q78" s="29"/>
      <c r="R78" s="31">
        <v>54</v>
      </c>
    </row>
    <row r="79" spans="1:85" outlineLevel="1" x14ac:dyDescent="0.2">
      <c r="N79" s="47">
        <v>13.87</v>
      </c>
      <c r="O79" s="29"/>
      <c r="P79" s="29"/>
      <c r="Q79" s="29"/>
      <c r="R79" s="31">
        <v>404</v>
      </c>
    </row>
    <row r="80" spans="1:85" outlineLevel="1" x14ac:dyDescent="0.2">
      <c r="N80" s="47">
        <v>14.27</v>
      </c>
      <c r="O80" s="29"/>
      <c r="P80" s="29"/>
      <c r="Q80" s="29"/>
      <c r="R80" s="31">
        <v>380</v>
      </c>
    </row>
    <row r="81" spans="3:18" outlineLevel="1" x14ac:dyDescent="0.2">
      <c r="C81" s="16" t="b">
        <v>0</v>
      </c>
      <c r="N81" s="47">
        <v>18.760000000000002</v>
      </c>
      <c r="O81" s="29"/>
      <c r="P81" s="29"/>
      <c r="Q81" s="29"/>
      <c r="R81" s="31">
        <v>65</v>
      </c>
    </row>
    <row r="82" spans="3:18" outlineLevel="1" x14ac:dyDescent="0.2">
      <c r="N82" s="47">
        <v>18.77</v>
      </c>
      <c r="O82" s="29"/>
      <c r="P82" s="29"/>
      <c r="Q82" s="29"/>
      <c r="R82" s="31">
        <v>40</v>
      </c>
    </row>
    <row r="83" spans="3:18" outlineLevel="1" x14ac:dyDescent="0.2">
      <c r="N83" s="47">
        <v>13.87</v>
      </c>
      <c r="O83" s="29"/>
      <c r="P83" s="29"/>
      <c r="Q83" s="29"/>
      <c r="R83" s="31">
        <v>456</v>
      </c>
    </row>
    <row r="84" spans="3:18" outlineLevel="1" x14ac:dyDescent="0.2">
      <c r="N84" s="47">
        <v>14.14</v>
      </c>
      <c r="O84" s="29"/>
      <c r="P84" s="29"/>
      <c r="Q84" s="29"/>
      <c r="R84" s="31">
        <v>176</v>
      </c>
    </row>
    <row r="85" spans="3:18" outlineLevel="1" x14ac:dyDescent="0.2">
      <c r="N85" s="47">
        <v>18.760000000000002</v>
      </c>
      <c r="O85" s="29"/>
      <c r="P85" s="29"/>
      <c r="Q85" s="29"/>
      <c r="R85" s="31">
        <v>61</v>
      </c>
    </row>
    <row r="86" spans="3:18" outlineLevel="1" x14ac:dyDescent="0.2">
      <c r="N86" s="47">
        <v>18.72</v>
      </c>
      <c r="O86" s="29"/>
      <c r="P86" s="29"/>
      <c r="Q86" s="29"/>
      <c r="R86" s="31">
        <v>91</v>
      </c>
    </row>
    <row r="87" spans="3:18" outlineLevel="1" x14ac:dyDescent="0.2">
      <c r="N87" s="47">
        <v>18.760000000000002</v>
      </c>
      <c r="O87" s="29"/>
      <c r="P87" s="29"/>
      <c r="Q87" s="29"/>
      <c r="R87" s="31">
        <v>59</v>
      </c>
    </row>
    <row r="88" spans="3:18" outlineLevel="1" x14ac:dyDescent="0.2">
      <c r="N88" s="47">
        <v>18.760000000000002</v>
      </c>
      <c r="O88" s="29"/>
      <c r="P88" s="29"/>
      <c r="Q88" s="29"/>
      <c r="R88" s="31">
        <v>83</v>
      </c>
    </row>
    <row r="89" spans="3:18" outlineLevel="1" x14ac:dyDescent="0.2">
      <c r="N89" s="47">
        <v>18.739999999999998</v>
      </c>
      <c r="O89" s="29"/>
      <c r="P89" s="29"/>
      <c r="Q89" s="29"/>
      <c r="R89" s="31">
        <v>41</v>
      </c>
    </row>
    <row r="90" spans="3:18" outlineLevel="1" x14ac:dyDescent="0.2">
      <c r="N90" s="47">
        <v>18.75</v>
      </c>
      <c r="O90" s="29"/>
      <c r="P90" s="29"/>
      <c r="Q90" s="29"/>
      <c r="R90" s="31">
        <v>47</v>
      </c>
    </row>
    <row r="91" spans="3:18" outlineLevel="1" x14ac:dyDescent="0.2">
      <c r="N91" s="47">
        <v>18.75</v>
      </c>
      <c r="O91" s="29"/>
      <c r="P91" s="29"/>
      <c r="Q91" s="29"/>
      <c r="R91" s="31">
        <v>84</v>
      </c>
    </row>
    <row r="92" spans="3:18" outlineLevel="1" x14ac:dyDescent="0.2">
      <c r="N92" s="47">
        <v>18.75</v>
      </c>
      <c r="O92" s="29"/>
      <c r="P92" s="29"/>
      <c r="Q92" s="29"/>
      <c r="R92" s="31">
        <v>85</v>
      </c>
    </row>
    <row r="93" spans="3:18" outlineLevel="1" x14ac:dyDescent="0.2">
      <c r="N93" s="47">
        <v>18.75</v>
      </c>
      <c r="O93" s="29"/>
      <c r="P93" s="29"/>
      <c r="Q93" s="29"/>
      <c r="R93" s="31">
        <v>116</v>
      </c>
    </row>
    <row r="94" spans="3:18" outlineLevel="1" x14ac:dyDescent="0.2">
      <c r="N94" s="47">
        <v>13.79</v>
      </c>
      <c r="O94" s="29"/>
      <c r="P94" s="29"/>
      <c r="Q94" s="29"/>
      <c r="R94" s="31">
        <v>544</v>
      </c>
    </row>
    <row r="95" spans="3:18" outlineLevel="1" x14ac:dyDescent="0.2">
      <c r="N95" s="47">
        <v>13.49</v>
      </c>
      <c r="O95" s="29"/>
      <c r="P95" s="29"/>
      <c r="Q95" s="29"/>
      <c r="R95" s="31">
        <v>890</v>
      </c>
    </row>
    <row r="96" spans="3:18" outlineLevel="1" x14ac:dyDescent="0.2">
      <c r="N96" s="47">
        <v>14.89</v>
      </c>
      <c r="O96" s="29"/>
      <c r="P96" s="29"/>
      <c r="Q96" s="29"/>
      <c r="R96" s="31">
        <v>371</v>
      </c>
    </row>
    <row r="97" spans="1:18" outlineLevel="1" x14ac:dyDescent="0.2">
      <c r="N97" s="47">
        <v>13.94</v>
      </c>
      <c r="O97" s="29"/>
      <c r="P97" s="29"/>
      <c r="Q97" s="29"/>
      <c r="R97" s="31">
        <v>557</v>
      </c>
    </row>
    <row r="98" spans="1:18" outlineLevel="1" x14ac:dyDescent="0.2">
      <c r="N98" s="47">
        <v>13.67</v>
      </c>
      <c r="O98" s="29"/>
      <c r="P98" s="29"/>
      <c r="Q98" s="29"/>
      <c r="R98" s="31">
        <v>775</v>
      </c>
    </row>
    <row r="99" spans="1:18" x14ac:dyDescent="0.2">
      <c r="N99" s="47">
        <v>14.43</v>
      </c>
      <c r="O99" s="29"/>
      <c r="P99" s="29"/>
      <c r="Q99" s="29"/>
      <c r="R99" s="31">
        <v>236</v>
      </c>
    </row>
    <row r="100" spans="1:18" x14ac:dyDescent="0.2">
      <c r="A100" s="5" t="s">
        <v>59</v>
      </c>
      <c r="N100" s="47">
        <v>18.75</v>
      </c>
      <c r="O100" s="29"/>
      <c r="P100" s="29"/>
      <c r="Q100" s="29"/>
      <c r="R100" s="31">
        <v>43</v>
      </c>
    </row>
    <row r="101" spans="1:18" outlineLevel="1" x14ac:dyDescent="0.2">
      <c r="N101" s="47">
        <v>18.22</v>
      </c>
      <c r="O101" s="29"/>
      <c r="P101" s="29"/>
      <c r="Q101" s="29"/>
      <c r="R101" s="31">
        <v>63</v>
      </c>
    </row>
    <row r="102" spans="1:18" outlineLevel="1" x14ac:dyDescent="0.2">
      <c r="N102" s="47">
        <v>14.06</v>
      </c>
      <c r="O102" s="29"/>
      <c r="P102" s="29"/>
      <c r="Q102" s="29"/>
      <c r="R102" s="31">
        <v>469</v>
      </c>
    </row>
    <row r="103" spans="1:18" outlineLevel="1" x14ac:dyDescent="0.2">
      <c r="N103" s="47">
        <v>14.43</v>
      </c>
      <c r="O103" s="29"/>
      <c r="P103" s="29"/>
      <c r="Q103" s="29"/>
      <c r="R103" s="31">
        <v>335</v>
      </c>
    </row>
    <row r="104" spans="1:18" outlineLevel="1" x14ac:dyDescent="0.2">
      <c r="N104" s="47">
        <v>19.48</v>
      </c>
      <c r="O104" s="29"/>
      <c r="P104" s="29"/>
      <c r="Q104" s="29"/>
      <c r="R104" s="31">
        <v>75</v>
      </c>
    </row>
    <row r="105" spans="1:18" outlineLevel="1" x14ac:dyDescent="0.2">
      <c r="N105" s="47">
        <v>15.15</v>
      </c>
      <c r="O105" s="29"/>
      <c r="P105" s="29"/>
      <c r="Q105" s="29"/>
      <c r="R105" s="31">
        <v>461</v>
      </c>
    </row>
    <row r="106" spans="1:18" outlineLevel="1" x14ac:dyDescent="0.2">
      <c r="N106" s="47">
        <v>13.79</v>
      </c>
      <c r="O106" s="29"/>
      <c r="P106" s="29"/>
      <c r="Q106" s="29"/>
      <c r="R106" s="31">
        <v>817</v>
      </c>
    </row>
    <row r="107" spans="1:18" outlineLevel="1" x14ac:dyDescent="0.2">
      <c r="N107" s="47">
        <v>14.31</v>
      </c>
      <c r="O107" s="29"/>
      <c r="P107" s="29"/>
      <c r="Q107" s="29"/>
      <c r="R107" s="31">
        <v>200</v>
      </c>
    </row>
    <row r="108" spans="1:18" outlineLevel="1" x14ac:dyDescent="0.2">
      <c r="N108" s="47">
        <v>19.5</v>
      </c>
      <c r="O108" s="29"/>
      <c r="P108" s="29"/>
      <c r="Q108" s="29"/>
      <c r="R108" s="31">
        <v>32</v>
      </c>
    </row>
    <row r="109" spans="1:18" outlineLevel="1" x14ac:dyDescent="0.2">
      <c r="N109" s="47">
        <v>13.85</v>
      </c>
      <c r="O109" s="29"/>
      <c r="P109" s="29"/>
      <c r="Q109" s="29"/>
      <c r="R109" s="31">
        <v>460</v>
      </c>
    </row>
    <row r="110" spans="1:18" outlineLevel="1" x14ac:dyDescent="0.2">
      <c r="N110" s="47">
        <v>14.23</v>
      </c>
      <c r="O110" s="29"/>
      <c r="P110" s="29"/>
      <c r="Q110" s="29"/>
      <c r="R110" s="31">
        <v>751</v>
      </c>
    </row>
    <row r="111" spans="1:18" outlineLevel="1" x14ac:dyDescent="0.2">
      <c r="N111" s="47">
        <v>19.309999999999999</v>
      </c>
      <c r="O111" s="29"/>
      <c r="P111" s="29"/>
      <c r="Q111" s="29"/>
      <c r="R111" s="31">
        <v>70</v>
      </c>
    </row>
    <row r="112" spans="1:18" outlineLevel="1" x14ac:dyDescent="0.2">
      <c r="N112" s="47">
        <v>19.29</v>
      </c>
      <c r="O112" s="29"/>
      <c r="P112" s="29"/>
      <c r="Q112" s="29"/>
      <c r="R112" s="31">
        <v>80</v>
      </c>
    </row>
    <row r="113" spans="1:18" outlineLevel="1" x14ac:dyDescent="0.2">
      <c r="N113" s="47">
        <v>13.76</v>
      </c>
      <c r="O113" s="29"/>
      <c r="P113" s="29"/>
      <c r="Q113" s="29"/>
      <c r="R113" s="31">
        <v>523</v>
      </c>
    </row>
    <row r="114" spans="1:18" outlineLevel="1" x14ac:dyDescent="0.2">
      <c r="N114" s="47">
        <v>13.45</v>
      </c>
      <c r="O114" s="29"/>
      <c r="P114" s="29"/>
      <c r="Q114" s="29"/>
      <c r="R114" s="31">
        <v>741</v>
      </c>
    </row>
    <row r="115" spans="1:18" outlineLevel="1" x14ac:dyDescent="0.2">
      <c r="N115" s="47">
        <v>15.13</v>
      </c>
      <c r="O115" s="29"/>
      <c r="P115" s="29"/>
      <c r="Q115" s="29"/>
      <c r="R115" s="31">
        <v>130</v>
      </c>
    </row>
    <row r="116" spans="1:18" outlineLevel="1" x14ac:dyDescent="0.2">
      <c r="N116" s="47">
        <v>19.43</v>
      </c>
      <c r="O116" s="29"/>
      <c r="P116" s="29"/>
      <c r="Q116" s="29"/>
      <c r="R116" s="31">
        <v>69</v>
      </c>
    </row>
    <row r="117" spans="1:18" outlineLevel="1" x14ac:dyDescent="0.2">
      <c r="N117" s="47">
        <v>13.26</v>
      </c>
      <c r="O117" s="29"/>
      <c r="P117" s="29"/>
      <c r="Q117" s="29"/>
      <c r="R117" s="31">
        <v>493</v>
      </c>
    </row>
    <row r="118" spans="1:18" outlineLevel="1" x14ac:dyDescent="0.2">
      <c r="N118" s="48">
        <v>13.92</v>
      </c>
      <c r="O118" s="32"/>
      <c r="P118" s="32"/>
      <c r="Q118" s="32"/>
      <c r="R118" s="33">
        <v>814</v>
      </c>
    </row>
    <row r="119" spans="1:18" outlineLevel="1" x14ac:dyDescent="0.2"/>
    <row r="120" spans="1:18" outlineLevel="1" x14ac:dyDescent="0.2"/>
    <row r="122" spans="1:18" x14ac:dyDescent="0.2">
      <c r="A122" s="5" t="s">
        <v>60</v>
      </c>
    </row>
    <row r="123" spans="1:18" outlineLevel="1" x14ac:dyDescent="0.2"/>
    <row r="124" spans="1:18" outlineLevel="1" x14ac:dyDescent="0.2"/>
    <row r="125" spans="1:18" outlineLevel="1" x14ac:dyDescent="0.2"/>
    <row r="126" spans="1:18" outlineLevel="1" x14ac:dyDescent="0.2"/>
    <row r="127" spans="1:18" outlineLevel="1" x14ac:dyDescent="0.2"/>
    <row r="128" spans="1:18"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0" spans="1:1" outlineLevel="1" x14ac:dyDescent="0.2"/>
    <row r="141" spans="1:1" outlineLevel="1" x14ac:dyDescent="0.2"/>
    <row r="142" spans="1:1" outlineLevel="1" x14ac:dyDescent="0.2"/>
    <row r="144" spans="1:1" x14ac:dyDescent="0.2">
      <c r="A144" s="5" t="s">
        <v>61</v>
      </c>
    </row>
    <row r="145" outlineLevel="1" x14ac:dyDescent="0.2"/>
    <row r="146" outlineLevel="1" x14ac:dyDescent="0.2"/>
    <row r="147" outlineLevel="1" x14ac:dyDescent="0.2"/>
    <row r="148" outlineLevel="1" x14ac:dyDescent="0.2"/>
    <row r="149" outlineLevel="1" x14ac:dyDescent="0.2"/>
    <row r="150" outlineLevel="1" x14ac:dyDescent="0.2"/>
    <row r="151" outlineLevel="1" x14ac:dyDescent="0.2"/>
    <row r="152" outlineLevel="1" x14ac:dyDescent="0.2"/>
    <row r="153" outlineLevel="1" x14ac:dyDescent="0.2"/>
    <row r="154" outlineLevel="1" x14ac:dyDescent="0.2"/>
    <row r="155" outlineLevel="1" x14ac:dyDescent="0.2"/>
    <row r="156" outlineLevel="1" x14ac:dyDescent="0.2"/>
    <row r="157" outlineLevel="1" x14ac:dyDescent="0.2"/>
    <row r="158" outlineLevel="1" x14ac:dyDescent="0.2"/>
    <row r="159" outlineLevel="1" x14ac:dyDescent="0.2"/>
    <row r="160" outlineLevel="1" x14ac:dyDescent="0.2"/>
    <row r="161" spans="1:1" outlineLevel="1" x14ac:dyDescent="0.2"/>
    <row r="162" spans="1:1" outlineLevel="1" x14ac:dyDescent="0.2"/>
    <row r="163" spans="1:1" outlineLevel="1" x14ac:dyDescent="0.2"/>
    <row r="164" spans="1:1" outlineLevel="1" x14ac:dyDescent="0.2"/>
    <row r="166" spans="1:1" x14ac:dyDescent="0.2">
      <c r="A166" s="5" t="s">
        <v>62</v>
      </c>
    </row>
    <row r="167" spans="1:1" outlineLevel="1" x14ac:dyDescent="0.2"/>
    <row r="168" spans="1:1" outlineLevel="1" x14ac:dyDescent="0.2"/>
    <row r="169" spans="1:1" outlineLevel="1" x14ac:dyDescent="0.2"/>
    <row r="170" spans="1:1" outlineLevel="1" x14ac:dyDescent="0.2"/>
    <row r="171" spans="1:1" outlineLevel="1" x14ac:dyDescent="0.2"/>
    <row r="172" spans="1:1" outlineLevel="1" x14ac:dyDescent="0.2"/>
    <row r="173" spans="1:1" outlineLevel="1" x14ac:dyDescent="0.2"/>
    <row r="174" spans="1:1" outlineLevel="1" x14ac:dyDescent="0.2"/>
    <row r="175" spans="1:1" outlineLevel="1" x14ac:dyDescent="0.2"/>
    <row r="176" spans="1:1" outlineLevel="1" x14ac:dyDescent="0.2"/>
    <row r="177" spans="1:6" outlineLevel="1" x14ac:dyDescent="0.2"/>
    <row r="178" spans="1:6" outlineLevel="1" x14ac:dyDescent="0.2"/>
    <row r="179" spans="1:6" outlineLevel="1" x14ac:dyDescent="0.2"/>
    <row r="180" spans="1:6" outlineLevel="1" x14ac:dyDescent="0.2"/>
    <row r="181" spans="1:6" outlineLevel="1" x14ac:dyDescent="0.2"/>
    <row r="182" spans="1:6" outlineLevel="1" x14ac:dyDescent="0.2"/>
    <row r="183" spans="1:6" outlineLevel="1" x14ac:dyDescent="0.2"/>
    <row r="184" spans="1:6" outlineLevel="1" x14ac:dyDescent="0.2"/>
    <row r="185" spans="1:6" outlineLevel="1" x14ac:dyDescent="0.2"/>
    <row r="186" spans="1:6" outlineLevel="1" x14ac:dyDescent="0.2"/>
    <row r="188" spans="1:6" x14ac:dyDescent="0.2">
      <c r="A188" s="5" t="s">
        <v>98</v>
      </c>
    </row>
    <row r="189" spans="1:6" ht="12" hidden="1" outlineLevel="1" thickBot="1" x14ac:dyDescent="0.25">
      <c r="A189" s="7" t="s">
        <v>53</v>
      </c>
      <c r="B189" s="7" t="s">
        <v>64</v>
      </c>
      <c r="C189" s="7" t="s">
        <v>44</v>
      </c>
      <c r="D189" s="7" t="s">
        <v>35</v>
      </c>
      <c r="E189" s="7" t="s">
        <v>65</v>
      </c>
    </row>
    <row r="190" spans="1:6" ht="15" hidden="1" outlineLevel="1" x14ac:dyDescent="0.25">
      <c r="A190" s="17">
        <v>18</v>
      </c>
      <c r="B190" s="18">
        <v>5.1704839950381514</v>
      </c>
      <c r="C190" s="18">
        <v>6.0691055216536149</v>
      </c>
      <c r="D190" s="18">
        <f t="shared" ref="D190:D221" si="10">B190 - C190</f>
        <v>-0.89862152661546357</v>
      </c>
      <c r="E190" s="4">
        <f t="shared" ref="E190:E221" si="11">D190 /0.355874098745379</f>
        <v>-2.5251107899774685</v>
      </c>
      <c r="F190"/>
    </row>
    <row r="191" spans="1:6" ht="15" hidden="1" outlineLevel="1" x14ac:dyDescent="0.25">
      <c r="A191" s="9">
        <v>49</v>
      </c>
      <c r="B191" s="8">
        <v>4.8675344504555822</v>
      </c>
      <c r="C191" s="8">
        <v>5.6153512462980935</v>
      </c>
      <c r="D191" s="8">
        <f t="shared" si="10"/>
        <v>-0.74781679584251126</v>
      </c>
      <c r="E191" s="3">
        <f t="shared" si="11"/>
        <v>-2.1013521312141337</v>
      </c>
      <c r="F191"/>
    </row>
    <row r="192" spans="1:6" ht="15" hidden="1" outlineLevel="1" x14ac:dyDescent="0.25">
      <c r="A192" s="9">
        <v>41</v>
      </c>
      <c r="B192" s="8">
        <v>5.2983173665480363</v>
      </c>
      <c r="C192" s="8">
        <v>5.9889719712966958</v>
      </c>
      <c r="D192" s="8">
        <f t="shared" si="10"/>
        <v>-0.69065460474865947</v>
      </c>
      <c r="E192" s="3">
        <f t="shared" si="11"/>
        <v>-1.9407273729207515</v>
      </c>
      <c r="F192"/>
    </row>
    <row r="193" spans="1:6" ht="15" hidden="1" outlineLevel="1" x14ac:dyDescent="0.25">
      <c r="A193" s="9">
        <v>44</v>
      </c>
      <c r="B193" s="8">
        <v>6.6214056517641344</v>
      </c>
      <c r="C193" s="8">
        <v>6.0265626113837243</v>
      </c>
      <c r="D193" s="8">
        <f t="shared" si="10"/>
        <v>0.59484304038041014</v>
      </c>
      <c r="E193" s="3">
        <f t="shared" si="11"/>
        <v>1.6714985509693099</v>
      </c>
      <c r="F193"/>
    </row>
    <row r="194" spans="1:6" ht="15" hidden="1" outlineLevel="1" x14ac:dyDescent="0.25">
      <c r="A194" s="9">
        <v>27</v>
      </c>
      <c r="B194" s="8">
        <v>4.7535901911063645</v>
      </c>
      <c r="C194" s="8">
        <v>4.176987707918812</v>
      </c>
      <c r="D194" s="8">
        <f t="shared" si="10"/>
        <v>0.57660248318755247</v>
      </c>
      <c r="E194" s="3">
        <f t="shared" si="11"/>
        <v>1.620242903938059</v>
      </c>
      <c r="F194"/>
    </row>
    <row r="195" spans="1:6" ht="15" hidden="1" outlineLevel="1" x14ac:dyDescent="0.25">
      <c r="A195" s="9">
        <v>52</v>
      </c>
      <c r="B195" s="8">
        <v>6.70196036600254</v>
      </c>
      <c r="C195" s="8">
        <v>6.174250001867378</v>
      </c>
      <c r="D195" s="8">
        <f t="shared" si="10"/>
        <v>0.52771036413516192</v>
      </c>
      <c r="E195" s="3">
        <f t="shared" si="11"/>
        <v>1.4828569035947976</v>
      </c>
      <c r="F195"/>
    </row>
    <row r="196" spans="1:6" ht="15" hidden="1" outlineLevel="1" x14ac:dyDescent="0.25">
      <c r="A196" s="9">
        <v>39</v>
      </c>
      <c r="B196" s="8">
        <v>6.1333980429966486</v>
      </c>
      <c r="C196" s="8">
        <v>5.6064936322439962</v>
      </c>
      <c r="D196" s="8">
        <f t="shared" si="10"/>
        <v>0.52690441075265237</v>
      </c>
      <c r="E196" s="3">
        <f t="shared" si="11"/>
        <v>1.4805921886707529</v>
      </c>
      <c r="F196"/>
    </row>
    <row r="197" spans="1:6" ht="15" hidden="1" outlineLevel="1" x14ac:dyDescent="0.25">
      <c r="A197" s="9">
        <v>16</v>
      </c>
      <c r="B197" s="8">
        <v>3.6888794541139363</v>
      </c>
      <c r="C197" s="8">
        <v>4.1698392926747303</v>
      </c>
      <c r="D197" s="8">
        <f t="shared" si="10"/>
        <v>-0.48095983856079405</v>
      </c>
      <c r="E197" s="3">
        <f t="shared" si="11"/>
        <v>-1.3514887435090113</v>
      </c>
      <c r="F197"/>
    </row>
    <row r="198" spans="1:6" ht="15" hidden="1" outlineLevel="1" x14ac:dyDescent="0.25">
      <c r="A198" s="9">
        <v>33</v>
      </c>
      <c r="B198" s="8">
        <v>5.4638318050256105</v>
      </c>
      <c r="C198" s="8">
        <v>5.9329782190647187</v>
      </c>
      <c r="D198" s="8">
        <f t="shared" si="10"/>
        <v>-0.46914641403910817</v>
      </c>
      <c r="E198" s="3">
        <f t="shared" si="11"/>
        <v>-1.3182932269953518</v>
      </c>
      <c r="F198"/>
    </row>
    <row r="199" spans="1:6" ht="15" hidden="1" outlineLevel="1" x14ac:dyDescent="0.25">
      <c r="A199" s="9">
        <v>40</v>
      </c>
      <c r="B199" s="8">
        <v>6.7056390948600031</v>
      </c>
      <c r="C199" s="8">
        <v>6.237164766753839</v>
      </c>
      <c r="D199" s="8">
        <f t="shared" si="10"/>
        <v>0.46847432810616407</v>
      </c>
      <c r="E199" s="3">
        <f t="shared" si="11"/>
        <v>1.3164046772657887</v>
      </c>
      <c r="F199"/>
    </row>
    <row r="200" spans="1:6" ht="15" hidden="1" outlineLevel="1" x14ac:dyDescent="0.25">
      <c r="A200" s="9">
        <v>23</v>
      </c>
      <c r="B200" s="8">
        <v>3.713572066704308</v>
      </c>
      <c r="C200" s="8">
        <v>4.1805647754156858</v>
      </c>
      <c r="D200" s="8">
        <f t="shared" si="10"/>
        <v>-0.46699270871137788</v>
      </c>
      <c r="E200" s="3">
        <f t="shared" si="11"/>
        <v>-1.3122413526518042</v>
      </c>
      <c r="F200"/>
    </row>
    <row r="201" spans="1:6" ht="15" hidden="1" outlineLevel="1" x14ac:dyDescent="0.25">
      <c r="A201" s="9">
        <v>42</v>
      </c>
      <c r="B201" s="8">
        <v>3.4657359027997265</v>
      </c>
      <c r="C201" s="8">
        <v>3.9140044775532878</v>
      </c>
      <c r="D201" s="8">
        <f t="shared" si="10"/>
        <v>-0.4482685747535613</v>
      </c>
      <c r="E201" s="3">
        <f t="shared" si="11"/>
        <v>-1.259626863359586</v>
      </c>
      <c r="F201"/>
    </row>
    <row r="202" spans="1:6" ht="15" hidden="1" outlineLevel="1" x14ac:dyDescent="0.25">
      <c r="A202" s="9">
        <v>34</v>
      </c>
      <c r="B202" s="8">
        <v>3.7612001156935624</v>
      </c>
      <c r="C202" s="8">
        <v>4.176987707918812</v>
      </c>
      <c r="D202" s="8">
        <f t="shared" si="10"/>
        <v>-0.41578759222524964</v>
      </c>
      <c r="E202" s="3">
        <f t="shared" si="11"/>
        <v>-1.1683558699301058</v>
      </c>
      <c r="F202"/>
    </row>
    <row r="203" spans="1:6" ht="15" hidden="1" outlineLevel="1" x14ac:dyDescent="0.25">
      <c r="A203" s="9">
        <v>29</v>
      </c>
      <c r="B203" s="8">
        <v>6.7912214627261855</v>
      </c>
      <c r="C203" s="8">
        <v>6.3846460684303352</v>
      </c>
      <c r="D203" s="8">
        <f t="shared" si="10"/>
        <v>0.40657539429585032</v>
      </c>
      <c r="E203" s="3">
        <f t="shared" si="11"/>
        <v>1.1424697546947553</v>
      </c>
      <c r="F203"/>
    </row>
    <row r="204" spans="1:6" ht="15" hidden="1" outlineLevel="1" x14ac:dyDescent="0.25">
      <c r="A204" s="9">
        <v>38</v>
      </c>
      <c r="B204" s="8">
        <v>4.3174881135363101</v>
      </c>
      <c r="C204" s="8">
        <v>3.9208851481046061</v>
      </c>
      <c r="D204" s="8">
        <f t="shared" si="10"/>
        <v>0.39660296543170404</v>
      </c>
      <c r="E204" s="3">
        <f t="shared" si="11"/>
        <v>1.1144474038147567</v>
      </c>
      <c r="F204"/>
    </row>
    <row r="205" spans="1:6" ht="15" hidden="1" outlineLevel="1" x14ac:dyDescent="0.25">
      <c r="A205" s="9">
        <v>46</v>
      </c>
      <c r="B205" s="8">
        <v>4.3820266346738812</v>
      </c>
      <c r="C205" s="8">
        <v>3.9866060995284336</v>
      </c>
      <c r="D205" s="8">
        <f t="shared" si="10"/>
        <v>0.39542053514544762</v>
      </c>
      <c r="E205" s="3">
        <f t="shared" si="11"/>
        <v>1.1111247953686096</v>
      </c>
      <c r="F205"/>
    </row>
    <row r="206" spans="1:6" ht="15" hidden="1" outlineLevel="1" x14ac:dyDescent="0.25">
      <c r="A206" s="9">
        <v>2</v>
      </c>
      <c r="B206" s="8">
        <v>4.5849674786705723</v>
      </c>
      <c r="C206" s="8">
        <v>4.2128445466508069</v>
      </c>
      <c r="D206" s="8">
        <f t="shared" si="10"/>
        <v>0.37212293201976543</v>
      </c>
      <c r="E206" s="3">
        <f t="shared" si="11"/>
        <v>1.0456589376177448</v>
      </c>
      <c r="F206"/>
    </row>
    <row r="207" spans="1:6" ht="15" hidden="1" outlineLevel="1" x14ac:dyDescent="0.25">
      <c r="A207" s="9">
        <v>7</v>
      </c>
      <c r="B207" s="8">
        <v>3.8501476017100584</v>
      </c>
      <c r="C207" s="8">
        <v>4.2128445466508069</v>
      </c>
      <c r="D207" s="8">
        <f t="shared" si="10"/>
        <v>-0.36269694494074844</v>
      </c>
      <c r="E207" s="3">
        <f t="shared" si="11"/>
        <v>-1.0191720786070779</v>
      </c>
      <c r="F207"/>
    </row>
    <row r="208" spans="1:6" ht="15" hidden="1" outlineLevel="1" x14ac:dyDescent="0.25">
      <c r="A208" s="9">
        <v>32</v>
      </c>
      <c r="B208" s="8">
        <v>6.6528630293533473</v>
      </c>
      <c r="C208" s="8">
        <v>6.2957686025628092</v>
      </c>
      <c r="D208" s="8">
        <f t="shared" si="10"/>
        <v>0.35709442679053804</v>
      </c>
      <c r="E208" s="3">
        <f t="shared" si="11"/>
        <v>1.0034291004865521</v>
      </c>
      <c r="F208"/>
    </row>
    <row r="209" spans="1:6" ht="15" hidden="1" outlineLevel="1" x14ac:dyDescent="0.25">
      <c r="A209" s="9">
        <v>24</v>
      </c>
      <c r="B209" s="8">
        <v>3.8501476017100584</v>
      </c>
      <c r="C209" s="8">
        <v>4.176987707918812</v>
      </c>
      <c r="D209" s="8">
        <f t="shared" si="10"/>
        <v>-0.32684010620875359</v>
      </c>
      <c r="E209" s="3">
        <f t="shared" si="11"/>
        <v>-0.91841498822481404</v>
      </c>
      <c r="F209"/>
    </row>
    <row r="210" spans="1:6" ht="15" hidden="1" outlineLevel="1" x14ac:dyDescent="0.25">
      <c r="A210" s="9">
        <v>20</v>
      </c>
      <c r="B210" s="8">
        <v>4.5108595065168497</v>
      </c>
      <c r="C210" s="8">
        <v>4.1877246403393187</v>
      </c>
      <c r="D210" s="8">
        <f t="shared" si="10"/>
        <v>0.32313486617753107</v>
      </c>
      <c r="E210" s="3">
        <f t="shared" si="11"/>
        <v>0.90800332847130794</v>
      </c>
      <c r="F210"/>
    </row>
    <row r="211" spans="1:6" ht="15" hidden="1" outlineLevel="1" x14ac:dyDescent="0.25">
      <c r="A211" s="9">
        <v>51</v>
      </c>
      <c r="B211" s="8">
        <v>6.2005091740426899</v>
      </c>
      <c r="C211" s="8">
        <v>6.4999535050057098</v>
      </c>
      <c r="D211" s="8">
        <f t="shared" si="10"/>
        <v>-0.29944433096301992</v>
      </c>
      <c r="E211" s="3">
        <f t="shared" si="11"/>
        <v>-0.8414333384157483</v>
      </c>
      <c r="F211"/>
    </row>
    <row r="212" spans="1:6" ht="15" hidden="1" outlineLevel="1" x14ac:dyDescent="0.25">
      <c r="A212" s="9">
        <v>50</v>
      </c>
      <c r="B212" s="8">
        <v>4.2341065045972597</v>
      </c>
      <c r="C212" s="8">
        <v>3.9381177786740622</v>
      </c>
      <c r="D212" s="8">
        <f t="shared" si="10"/>
        <v>0.29598872592319747</v>
      </c>
      <c r="E212" s="3">
        <f t="shared" si="11"/>
        <v>0.83172314862670471</v>
      </c>
      <c r="F212"/>
    </row>
    <row r="213" spans="1:6" ht="15" hidden="1" outlineLevel="1" x14ac:dyDescent="0.25">
      <c r="A213" s="9">
        <v>45</v>
      </c>
      <c r="B213" s="8">
        <v>4.2484952420493594</v>
      </c>
      <c r="C213" s="8">
        <v>3.9796576917938147</v>
      </c>
      <c r="D213" s="8">
        <f t="shared" si="10"/>
        <v>0.26883755025554468</v>
      </c>
      <c r="E213" s="3">
        <f t="shared" si="11"/>
        <v>0.75542881935864825</v>
      </c>
      <c r="F213"/>
    </row>
    <row r="214" spans="1:6" ht="15" hidden="1" outlineLevel="1" x14ac:dyDescent="0.25">
      <c r="A214" s="9">
        <v>26</v>
      </c>
      <c r="B214" s="8">
        <v>4.4426512564903167</v>
      </c>
      <c r="C214" s="8">
        <v>4.176987707918812</v>
      </c>
      <c r="D214" s="8">
        <f t="shared" si="10"/>
        <v>0.26566354857150465</v>
      </c>
      <c r="E214" s="3">
        <f t="shared" si="11"/>
        <v>0.74650993007946254</v>
      </c>
      <c r="F214"/>
    </row>
    <row r="215" spans="1:6" ht="15" hidden="1" outlineLevel="1" x14ac:dyDescent="0.25">
      <c r="A215" s="9">
        <v>4</v>
      </c>
      <c r="B215" s="8">
        <v>3.9512437185814275</v>
      </c>
      <c r="C215" s="8">
        <v>4.2128445466508069</v>
      </c>
      <c r="D215" s="8">
        <f t="shared" si="10"/>
        <v>-0.26160082806937934</v>
      </c>
      <c r="E215" s="3">
        <f t="shared" si="11"/>
        <v>-0.73509375644825914</v>
      </c>
      <c r="F215"/>
    </row>
    <row r="216" spans="1:6" ht="15" hidden="1" outlineLevel="1" x14ac:dyDescent="0.25">
      <c r="A216" s="9">
        <v>8</v>
      </c>
      <c r="B216" s="8">
        <v>4.4426512564903167</v>
      </c>
      <c r="C216" s="8">
        <v>4.1841437522094225</v>
      </c>
      <c r="D216" s="8">
        <f t="shared" si="10"/>
        <v>0.2585075042808942</v>
      </c>
      <c r="E216" s="3">
        <f t="shared" si="11"/>
        <v>0.72640157064605948</v>
      </c>
      <c r="F216"/>
    </row>
    <row r="217" spans="1:6" ht="15" hidden="1" outlineLevel="1" x14ac:dyDescent="0.25">
      <c r="A217" s="9">
        <v>25</v>
      </c>
      <c r="B217" s="8">
        <v>4.4308167988433134</v>
      </c>
      <c r="C217" s="8">
        <v>4.176987707918812</v>
      </c>
      <c r="D217" s="8">
        <f t="shared" si="10"/>
        <v>0.25382909092450134</v>
      </c>
      <c r="E217" s="3">
        <f t="shared" si="11"/>
        <v>0.71325531085113081</v>
      </c>
      <c r="F217"/>
    </row>
    <row r="218" spans="1:6" ht="15" hidden="1" outlineLevel="1" x14ac:dyDescent="0.25">
      <c r="A218" s="9">
        <v>22</v>
      </c>
      <c r="B218" s="8">
        <v>4.4188406077965983</v>
      </c>
      <c r="C218" s="8">
        <v>4.173412547682755</v>
      </c>
      <c r="D218" s="8">
        <f t="shared" si="10"/>
        <v>0.24542806011384322</v>
      </c>
      <c r="E218" s="3">
        <f t="shared" si="11"/>
        <v>0.68964856104754679</v>
      </c>
      <c r="F218"/>
    </row>
    <row r="219" spans="1:6" ht="15" hidden="1" outlineLevel="1" x14ac:dyDescent="0.25">
      <c r="A219" s="9">
        <v>35</v>
      </c>
      <c r="B219" s="8">
        <v>4.1431347263915326</v>
      </c>
      <c r="C219" s="8">
        <v>4.369252046767528</v>
      </c>
      <c r="D219" s="8">
        <f t="shared" si="10"/>
        <v>-0.22611732037599541</v>
      </c>
      <c r="E219" s="3">
        <f t="shared" si="11"/>
        <v>-0.63538571976202729</v>
      </c>
      <c r="F219"/>
    </row>
    <row r="220" spans="1:6" ht="15" hidden="1" outlineLevel="1" x14ac:dyDescent="0.25">
      <c r="A220" s="9">
        <v>48</v>
      </c>
      <c r="B220" s="8">
        <v>6.6080006252960866</v>
      </c>
      <c r="C220" s="8">
        <v>6.4045576283152847</v>
      </c>
      <c r="D220" s="8">
        <f t="shared" si="10"/>
        <v>0.20344299698080182</v>
      </c>
      <c r="E220" s="3">
        <f t="shared" si="11"/>
        <v>0.57167126716451855</v>
      </c>
      <c r="F220"/>
    </row>
    <row r="221" spans="1:6" ht="15" hidden="1" outlineLevel="1" x14ac:dyDescent="0.25">
      <c r="A221" s="9">
        <v>13</v>
      </c>
      <c r="B221" s="8">
        <v>6.0014148779611505</v>
      </c>
      <c r="C221" s="8">
        <v>6.1983781778268749</v>
      </c>
      <c r="D221" s="8">
        <f t="shared" si="10"/>
        <v>-0.19696329986572447</v>
      </c>
      <c r="E221" s="3">
        <f t="shared" si="11"/>
        <v>-0.55346343147790555</v>
      </c>
      <c r="F221"/>
    </row>
    <row r="222" spans="1:6" ht="15" hidden="1" outlineLevel="1" x14ac:dyDescent="0.25">
      <c r="A222" s="9">
        <v>30</v>
      </c>
      <c r="B222" s="8">
        <v>5.916202062607435</v>
      </c>
      <c r="C222" s="8">
        <v>5.7225654617281343</v>
      </c>
      <c r="D222" s="8">
        <f t="shared" ref="D222:D241" si="12">B222 - C222</f>
        <v>0.19363660087930068</v>
      </c>
      <c r="E222" s="3">
        <f t="shared" ref="E222:E241" si="13">D222 /0.355874098745379</f>
        <v>0.54411546544679523</v>
      </c>
      <c r="F222"/>
    </row>
    <row r="223" spans="1:6" ht="15" hidden="1" outlineLevel="1" x14ac:dyDescent="0.25">
      <c r="A223" s="9">
        <v>12</v>
      </c>
      <c r="B223" s="8">
        <v>3.9889840465642745</v>
      </c>
      <c r="C223" s="8">
        <v>4.176987707918812</v>
      </c>
      <c r="D223" s="8">
        <f t="shared" si="12"/>
        <v>-0.1880036613545375</v>
      </c>
      <c r="E223" s="3">
        <f t="shared" si="13"/>
        <v>-0.52828700379526772</v>
      </c>
      <c r="F223"/>
    </row>
    <row r="224" spans="1:6" ht="15" hidden="1" outlineLevel="1" x14ac:dyDescent="0.25">
      <c r="A224" s="9">
        <v>31</v>
      </c>
      <c r="B224" s="8">
        <v>6.3225652399272843</v>
      </c>
      <c r="C224" s="8">
        <v>6.1646229896409572</v>
      </c>
      <c r="D224" s="8">
        <f t="shared" si="12"/>
        <v>0.15794225028632702</v>
      </c>
      <c r="E224" s="3">
        <f t="shared" si="13"/>
        <v>0.44381496389635156</v>
      </c>
      <c r="F224"/>
    </row>
    <row r="225" spans="1:6" ht="15" hidden="1" outlineLevel="1" x14ac:dyDescent="0.25">
      <c r="A225" s="9">
        <v>11</v>
      </c>
      <c r="B225" s="8">
        <v>4.0430512678345503</v>
      </c>
      <c r="C225" s="8">
        <v>4.176987707918812</v>
      </c>
      <c r="D225" s="8">
        <f t="shared" si="12"/>
        <v>-0.13393644008426175</v>
      </c>
      <c r="E225" s="3">
        <f t="shared" si="13"/>
        <v>-0.37635905663393243</v>
      </c>
      <c r="F225"/>
    </row>
    <row r="226" spans="1:6" ht="15" hidden="1" outlineLevel="1" x14ac:dyDescent="0.25">
      <c r="A226" s="9">
        <v>37</v>
      </c>
      <c r="B226" s="8">
        <v>5.8141305318250662</v>
      </c>
      <c r="C226" s="8">
        <v>5.9329782190647187</v>
      </c>
      <c r="D226" s="8">
        <f t="shared" si="12"/>
        <v>-0.11884768723965244</v>
      </c>
      <c r="E226" s="3">
        <f t="shared" si="13"/>
        <v>-0.33395992475610214</v>
      </c>
      <c r="F226"/>
    </row>
    <row r="227" spans="1:6" ht="15" hidden="1" outlineLevel="1" x14ac:dyDescent="0.25">
      <c r="A227" s="9">
        <v>9</v>
      </c>
      <c r="B227" s="8">
        <v>4.0775374439057197</v>
      </c>
      <c r="C227" s="8">
        <v>4.176987707918812</v>
      </c>
      <c r="D227" s="8">
        <f t="shared" si="12"/>
        <v>-9.9450264013092315E-2</v>
      </c>
      <c r="E227" s="3">
        <f t="shared" si="13"/>
        <v>-0.27945350438174776</v>
      </c>
      <c r="F227"/>
    </row>
    <row r="228" spans="1:6" ht="15" hidden="1" outlineLevel="1" x14ac:dyDescent="0.25">
      <c r="A228" s="9">
        <v>21</v>
      </c>
      <c r="B228" s="8">
        <v>4.0775374439057197</v>
      </c>
      <c r="C228" s="8">
        <v>4.173412547682755</v>
      </c>
      <c r="D228" s="8">
        <f t="shared" si="12"/>
        <v>-9.5875103777035342E-2</v>
      </c>
      <c r="E228" s="3">
        <f t="shared" si="13"/>
        <v>-0.26940736658003345</v>
      </c>
      <c r="F228"/>
    </row>
    <row r="229" spans="1:6" ht="15" hidden="1" outlineLevel="1" x14ac:dyDescent="0.25">
      <c r="A229" s="9">
        <v>43</v>
      </c>
      <c r="B229" s="8">
        <v>6.131226489483141</v>
      </c>
      <c r="C229" s="8">
        <v>6.2080538113439978</v>
      </c>
      <c r="D229" s="8">
        <f t="shared" si="12"/>
        <v>-7.6827321860856834E-2</v>
      </c>
      <c r="E229" s="3">
        <f t="shared" si="13"/>
        <v>-0.21588343217926992</v>
      </c>
      <c r="F229"/>
    </row>
    <row r="230" spans="1:6" ht="15" hidden="1" outlineLevel="1" x14ac:dyDescent="0.25">
      <c r="A230" s="9">
        <v>17</v>
      </c>
      <c r="B230" s="8">
        <v>6.1224928095143865</v>
      </c>
      <c r="C230" s="8">
        <v>6.1983781778268749</v>
      </c>
      <c r="D230" s="8">
        <f t="shared" si="12"/>
        <v>-7.5885368312488488E-2</v>
      </c>
      <c r="E230" s="3">
        <f t="shared" si="13"/>
        <v>-0.21323655916522039</v>
      </c>
      <c r="F230"/>
    </row>
    <row r="231" spans="1:6" ht="15" hidden="1" outlineLevel="1" x14ac:dyDescent="0.25">
      <c r="A231" s="9">
        <v>14</v>
      </c>
      <c r="B231" s="8">
        <v>5.9401712527204316</v>
      </c>
      <c r="C231" s="8">
        <v>6.0077409488809863</v>
      </c>
      <c r="D231" s="8">
        <f t="shared" si="12"/>
        <v>-6.7569696160554749E-2</v>
      </c>
      <c r="E231" s="3">
        <f t="shared" si="13"/>
        <v>-0.18986966570135116</v>
      </c>
      <c r="F231"/>
    </row>
    <row r="232" spans="1:6" ht="15" hidden="1" outlineLevel="1" x14ac:dyDescent="0.25">
      <c r="A232" s="9">
        <v>6</v>
      </c>
      <c r="B232" s="8">
        <v>4.2766661190160553</v>
      </c>
      <c r="C232" s="8">
        <v>4.2128445466508069</v>
      </c>
      <c r="D232" s="8">
        <f t="shared" si="12"/>
        <v>6.3821572365248436E-2</v>
      </c>
      <c r="E232" s="3">
        <f t="shared" si="13"/>
        <v>0.17933750331999163</v>
      </c>
      <c r="F232"/>
    </row>
    <row r="233" spans="1:6" ht="15" hidden="1" outlineLevel="1" x14ac:dyDescent="0.25">
      <c r="A233" s="9">
        <v>19</v>
      </c>
      <c r="B233" s="8">
        <v>4.1108738641733114</v>
      </c>
      <c r="C233" s="8">
        <v>4.173412547682755</v>
      </c>
      <c r="D233" s="8">
        <f t="shared" si="12"/>
        <v>-6.2538683509443693E-2</v>
      </c>
      <c r="E233" s="3">
        <f t="shared" si="13"/>
        <v>-0.17573260804852478</v>
      </c>
      <c r="F233"/>
    </row>
    <row r="234" spans="1:6" ht="15" hidden="1" outlineLevel="1" x14ac:dyDescent="0.25">
      <c r="A234" s="9">
        <v>28</v>
      </c>
      <c r="B234" s="8">
        <v>6.2989492468559423</v>
      </c>
      <c r="C234" s="8">
        <v>6.237164766753839</v>
      </c>
      <c r="D234" s="8">
        <f t="shared" si="12"/>
        <v>6.1784480102103245E-2</v>
      </c>
      <c r="E234" s="3">
        <f t="shared" si="13"/>
        <v>0.17361330965058189</v>
      </c>
      <c r="F234"/>
    </row>
    <row r="235" spans="1:6" ht="15" hidden="1" outlineLevel="1" x14ac:dyDescent="0.25">
      <c r="A235" s="9">
        <v>5</v>
      </c>
      <c r="B235" s="8">
        <v>4.1588830833596715</v>
      </c>
      <c r="C235" s="8">
        <v>4.2128445466508069</v>
      </c>
      <c r="D235" s="8">
        <f t="shared" si="12"/>
        <v>-5.3961463291135381E-2</v>
      </c>
      <c r="E235" s="3">
        <f t="shared" si="13"/>
        <v>-0.15163076908764792</v>
      </c>
      <c r="F235"/>
    </row>
    <row r="236" spans="1:6" ht="15" hidden="1" outlineLevel="1" x14ac:dyDescent="0.25">
      <c r="A236" s="9">
        <v>36</v>
      </c>
      <c r="B236" s="8">
        <v>6.1506027684462792</v>
      </c>
      <c r="C236" s="8">
        <v>6.1071493846411329</v>
      </c>
      <c r="D236" s="8">
        <f t="shared" si="12"/>
        <v>4.3453383805146295E-2</v>
      </c>
      <c r="E236" s="3">
        <f t="shared" si="13"/>
        <v>0.12210324931862025</v>
      </c>
      <c r="F236"/>
    </row>
    <row r="237" spans="1:6" ht="15" hidden="1" outlineLevel="1" x14ac:dyDescent="0.25">
      <c r="A237" s="9">
        <v>3</v>
      </c>
      <c r="B237" s="8">
        <v>4.2484952420493594</v>
      </c>
      <c r="C237" s="8">
        <v>4.2128445466508069</v>
      </c>
      <c r="D237" s="8">
        <f t="shared" si="12"/>
        <v>3.5650695398552479E-2</v>
      </c>
      <c r="E237" s="3">
        <f t="shared" si="13"/>
        <v>0.1001778312168199</v>
      </c>
      <c r="F237"/>
    </row>
    <row r="238" spans="1:6" ht="15" hidden="1" outlineLevel="1" x14ac:dyDescent="0.25">
      <c r="A238" s="9">
        <v>10</v>
      </c>
      <c r="B238" s="8">
        <v>4.1431347263915326</v>
      </c>
      <c r="C238" s="8">
        <v>4.176987707918812</v>
      </c>
      <c r="D238" s="8">
        <f t="shared" si="12"/>
        <v>-3.3852981527279447E-2</v>
      </c>
      <c r="E238" s="3">
        <f t="shared" si="13"/>
        <v>-9.5126286646392319E-2</v>
      </c>
      <c r="F238"/>
    </row>
    <row r="239" spans="1:6" ht="15" hidden="1" outlineLevel="1" x14ac:dyDescent="0.25">
      <c r="A239" s="9">
        <v>47</v>
      </c>
      <c r="B239" s="8">
        <v>6.2595814640649232</v>
      </c>
      <c r="C239" s="8">
        <v>6.251767776947986</v>
      </c>
      <c r="D239" s="26">
        <f t="shared" si="12"/>
        <v>7.8136871169371958E-3</v>
      </c>
      <c r="E239" s="3">
        <f t="shared" si="13"/>
        <v>2.1956324285706829E-2</v>
      </c>
      <c r="F239"/>
    </row>
    <row r="240" spans="1:6" ht="15" hidden="1" outlineLevel="1" x14ac:dyDescent="0.25">
      <c r="A240" s="9">
        <v>1</v>
      </c>
      <c r="B240" s="8">
        <v>6.0844994130751715</v>
      </c>
      <c r="C240" s="8">
        <v>6.0881004716480724</v>
      </c>
      <c r="D240" s="26">
        <f t="shared" si="12"/>
        <v>-3.6010585729009392E-3</v>
      </c>
      <c r="E240" s="3">
        <f t="shared" si="13"/>
        <v>-1.0118911675776176E-2</v>
      </c>
      <c r="F240"/>
    </row>
    <row r="241" spans="1:6" ht="15" hidden="1" outlineLevel="1" x14ac:dyDescent="0.25">
      <c r="A241" s="9">
        <v>15</v>
      </c>
      <c r="B241" s="8">
        <v>4.1743872698956368</v>
      </c>
      <c r="C241" s="8">
        <v>4.173412547682755</v>
      </c>
      <c r="D241" s="26">
        <f t="shared" si="12"/>
        <v>9.747222128817512E-4</v>
      </c>
      <c r="E241" s="3">
        <f t="shared" si="13"/>
        <v>2.7389523888310453E-3</v>
      </c>
      <c r="F241"/>
    </row>
    <row r="242" spans="1:6" collapsed="1" x14ac:dyDescent="0.2"/>
  </sheetData>
  <sortState ref="A190:F241">
    <sortCondition descending="1" ref="F190"/>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1"/>
  <sheetViews>
    <sheetView showGridLines="0" showRowColHeaders="0" workbookViewId="0">
      <pane xSplit="1" topLeftCell="B1" activePane="topRight" state="frozenSplit"/>
      <selection pane="topRight"/>
    </sheetView>
  </sheetViews>
  <sheetFormatPr defaultRowHeight="11.25" x14ac:dyDescent="0.2"/>
  <cols>
    <col min="1" max="1" width="32.5703125" style="19" bestFit="1" customWidth="1"/>
    <col min="2" max="2" width="21.28515625" style="19" customWidth="1"/>
    <col min="3" max="16384" width="9.140625" style="19"/>
  </cols>
  <sheetData>
    <row r="1" spans="1:2" x14ac:dyDescent="0.2">
      <c r="A1" s="20" t="s">
        <v>66</v>
      </c>
    </row>
    <row r="3" spans="1:2" x14ac:dyDescent="0.2">
      <c r="A3" s="22" t="s">
        <v>67</v>
      </c>
    </row>
    <row r="4" spans="1:2" x14ac:dyDescent="0.2">
      <c r="A4" s="21" t="s">
        <v>68</v>
      </c>
      <c r="B4" s="19" t="s">
        <v>8</v>
      </c>
    </row>
    <row r="5" spans="1:2" x14ac:dyDescent="0.2">
      <c r="A5" s="21" t="s">
        <v>69</v>
      </c>
      <c r="B5" s="24">
        <v>42153.463888888888</v>
      </c>
    </row>
    <row r="6" spans="1:2" x14ac:dyDescent="0.2">
      <c r="A6" s="23" t="s">
        <v>70</v>
      </c>
    </row>
    <row r="7" spans="1:2" x14ac:dyDescent="0.2">
      <c r="A7" s="21" t="s">
        <v>71</v>
      </c>
      <c r="B7" s="19">
        <v>0.75065725896135527</v>
      </c>
    </row>
    <row r="8" spans="1:2" x14ac:dyDescent="0.2">
      <c r="A8" s="21" t="s">
        <v>72</v>
      </c>
      <c r="B8" s="19">
        <v>0.74567040414058239</v>
      </c>
    </row>
    <row r="9" spans="1:2" x14ac:dyDescent="0.2">
      <c r="A9" s="21" t="s">
        <v>73</v>
      </c>
      <c r="B9" s="19">
        <v>130.52852724537297</v>
      </c>
    </row>
    <row r="10" spans="1:2" x14ac:dyDescent="0.2">
      <c r="A10" s="21" t="s">
        <v>21</v>
      </c>
      <c r="B10" s="25">
        <v>52</v>
      </c>
    </row>
    <row r="11" spans="1:2" x14ac:dyDescent="0.2">
      <c r="A11" s="23" t="s">
        <v>74</v>
      </c>
    </row>
    <row r="12" spans="1:2" x14ac:dyDescent="0.2">
      <c r="A12" s="21" t="s">
        <v>31</v>
      </c>
      <c r="B12" s="19" t="s">
        <v>79</v>
      </c>
    </row>
    <row r="13" spans="1:2" x14ac:dyDescent="0.2">
      <c r="A13" s="21" t="s">
        <v>75</v>
      </c>
    </row>
    <row r="14" spans="1:2" x14ac:dyDescent="0.2">
      <c r="A14" s="21" t="s">
        <v>76</v>
      </c>
    </row>
    <row r="15" spans="1:2" x14ac:dyDescent="0.2">
      <c r="A15" s="21" t="s">
        <v>77</v>
      </c>
    </row>
    <row r="16" spans="1:2" x14ac:dyDescent="0.2">
      <c r="A16" s="21" t="s">
        <v>13</v>
      </c>
      <c r="B16" s="19" t="s">
        <v>80</v>
      </c>
    </row>
    <row r="17" spans="1:2" x14ac:dyDescent="0.2">
      <c r="A17" s="21" t="s">
        <v>78</v>
      </c>
    </row>
    <row r="18" spans="1:2" x14ac:dyDescent="0.2">
      <c r="A18" s="21" t="s">
        <v>0</v>
      </c>
    </row>
    <row r="20" spans="1:2" x14ac:dyDescent="0.2">
      <c r="A20" s="22" t="s">
        <v>99</v>
      </c>
    </row>
    <row r="21" spans="1:2" x14ac:dyDescent="0.2">
      <c r="A21" s="21" t="s">
        <v>68</v>
      </c>
      <c r="B21" s="19" t="s">
        <v>89</v>
      </c>
    </row>
    <row r="22" spans="1:2" x14ac:dyDescent="0.2">
      <c r="A22" s="21" t="s">
        <v>69</v>
      </c>
      <c r="B22" s="24">
        <v>42153.467361111114</v>
      </c>
    </row>
    <row r="23" spans="1:2" x14ac:dyDescent="0.2">
      <c r="A23" s="23" t="s">
        <v>70</v>
      </c>
    </row>
    <row r="24" spans="1:2" x14ac:dyDescent="0.2">
      <c r="A24" s="21" t="s">
        <v>71</v>
      </c>
      <c r="B24" s="19">
        <v>0.88815178994552935</v>
      </c>
    </row>
    <row r="25" spans="1:2" x14ac:dyDescent="0.2">
      <c r="A25" s="21" t="s">
        <v>72</v>
      </c>
      <c r="B25" s="19">
        <v>0.88591482574443969</v>
      </c>
    </row>
    <row r="26" spans="1:2" x14ac:dyDescent="0.2">
      <c r="A26" s="21" t="s">
        <v>73</v>
      </c>
      <c r="B26" s="19">
        <v>0.3558740987453794</v>
      </c>
    </row>
    <row r="27" spans="1:2" x14ac:dyDescent="0.2">
      <c r="A27" s="21" t="s">
        <v>21</v>
      </c>
      <c r="B27" s="25">
        <v>52</v>
      </c>
    </row>
    <row r="28" spans="1:2" x14ac:dyDescent="0.2">
      <c r="A28" s="23" t="s">
        <v>74</v>
      </c>
    </row>
    <row r="29" spans="1:2" x14ac:dyDescent="0.2">
      <c r="A29" s="21" t="s">
        <v>31</v>
      </c>
      <c r="B29" s="19" t="s">
        <v>100</v>
      </c>
    </row>
    <row r="30" spans="1:2" x14ac:dyDescent="0.2">
      <c r="A30" s="21" t="s">
        <v>75</v>
      </c>
    </row>
    <row r="31" spans="1:2" x14ac:dyDescent="0.2">
      <c r="A31" s="21" t="s">
        <v>83</v>
      </c>
    </row>
    <row r="32" spans="1:2" x14ac:dyDescent="0.2">
      <c r="A32" s="21" t="s">
        <v>11</v>
      </c>
    </row>
    <row r="33" spans="1:2" x14ac:dyDescent="0.2">
      <c r="A33" s="21" t="s">
        <v>76</v>
      </c>
    </row>
    <row r="34" spans="1:2" x14ac:dyDescent="0.2">
      <c r="A34" s="21" t="s">
        <v>85</v>
      </c>
    </row>
    <row r="35" spans="1:2" x14ac:dyDescent="0.2">
      <c r="A35" s="21" t="s">
        <v>77</v>
      </c>
    </row>
    <row r="36" spans="1:2" x14ac:dyDescent="0.2">
      <c r="A36" s="21" t="s">
        <v>86</v>
      </c>
    </row>
    <row r="37" spans="1:2" x14ac:dyDescent="0.2">
      <c r="A37" s="21" t="s">
        <v>13</v>
      </c>
    </row>
    <row r="38" spans="1:2" x14ac:dyDescent="0.2">
      <c r="A38" s="21" t="s">
        <v>87</v>
      </c>
      <c r="B38" s="19" t="s">
        <v>101</v>
      </c>
    </row>
    <row r="39" spans="1:2" x14ac:dyDescent="0.2">
      <c r="A39" s="21" t="s">
        <v>78</v>
      </c>
    </row>
    <row r="40" spans="1:2" x14ac:dyDescent="0.2">
      <c r="A40" s="21" t="s">
        <v>88</v>
      </c>
    </row>
    <row r="41" spans="1:2" x14ac:dyDescent="0.2">
      <c r="A41" s="21" t="s">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Data</vt:lpstr>
      <vt:lpstr>Linear price-demand model</vt:lpstr>
      <vt:lpstr>Log-log price-demand model</vt:lpstr>
      <vt:lpstr>Model Summaries</vt:lpstr>
      <vt:lpstr>CASES_12PK</vt:lpstr>
      <vt:lpstr>CASES_12PK_LN</vt:lpstr>
      <vt:lpstr>CASES_18PK</vt:lpstr>
      <vt:lpstr>CASES_18PK_LN</vt:lpstr>
      <vt:lpstr>CASES_30PK</vt:lpstr>
      <vt:lpstr>CASES_30PK_LN</vt:lpstr>
      <vt:lpstr>PRICE_12PK</vt:lpstr>
      <vt:lpstr>PRICE_12PK_LN</vt:lpstr>
      <vt:lpstr>PRICE_18PK</vt:lpstr>
      <vt:lpstr>PRICE_18PK_LN</vt:lpstr>
      <vt:lpstr>PRICE_30PK</vt:lpstr>
      <vt:lpstr>PRICE_30PK_LN</vt:lpstr>
      <vt:lpstr>'Linear price-demand model'!Print_Area</vt:lpstr>
      <vt:lpstr>'Log-log price-demand model'!Print_Area</vt:lpstr>
      <vt:lpstr>Week</vt:lpstr>
    </vt:vector>
  </TitlesOfParts>
  <Company>Duke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Nau</dc:creator>
  <cp:lastModifiedBy>Bob Nau</cp:lastModifiedBy>
  <dcterms:created xsi:type="dcterms:W3CDTF">2015-05-27T17:16:14Z</dcterms:created>
  <dcterms:modified xsi:type="dcterms:W3CDTF">2015-05-29T19:43:40Z</dcterms:modified>
</cp:coreProperties>
</file>